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en_skoroszyt" defaultThemeVersion="124226"/>
  <mc:AlternateContent xmlns:mc="http://schemas.openxmlformats.org/markup-compatibility/2006">
    <mc:Choice Requires="x15">
      <x15ac:absPath xmlns:x15ac="http://schemas.microsoft.com/office/spreadsheetml/2010/11/ac" url="C:\Users\justyna\Desktop\URZĄD GMINY\PROGRAM OCHRONY POWIETRZA - SPRAWOZDANIA\POP 2024\"/>
    </mc:Choice>
  </mc:AlternateContent>
  <xr:revisionPtr revIDLastSave="0" documentId="13_ncr:1_{8324070A-8360-47BA-9839-BE646E2025C0}" xr6:coauthVersionLast="47" xr6:coauthVersionMax="47" xr10:uidLastSave="{00000000-0000-0000-0000-000000000000}"/>
  <bookViews>
    <workbookView xWindow="-120" yWindow="-120" windowWidth="29040" windowHeight="15720" tabRatio="790" firstSheet="3" activeTab="9" xr2:uid="{00000000-000D-0000-FFFF-FFFF00000000}"/>
  </bookViews>
  <sheets>
    <sheet name="katalogi" sheetId="4" state="hidden" r:id="rId1"/>
    <sheet name="katalog_gmin_PL26" sheetId="25" state="hidden" r:id="rId2"/>
    <sheet name="wskaźniki_efektu" sheetId="20" state="hidden" r:id="rId3"/>
    <sheet name="instrukcja" sheetId="35" r:id="rId4"/>
    <sheet name="tabela_informacyjna_dla_JST" sheetId="26" r:id="rId5"/>
    <sheet name="tab.1_ZSO_gminy" sheetId="30" r:id="rId6"/>
    <sheet name="tab.2_EE_gminy" sheetId="18" r:id="rId7"/>
    <sheet name="tab.3_KPP" sheetId="27" r:id="rId8"/>
    <sheet name="tab.5_PDK" sheetId="31" r:id="rId9"/>
    <sheet name="gminy strefy świętokrzyskiej" sheetId="40" r:id="rId10"/>
  </sheets>
  <externalReferences>
    <externalReference r:id="rId11"/>
  </externalReferences>
  <definedNames>
    <definedName name="_xlnm._FilterDatabase" localSheetId="0" hidden="1">katalogi!$A$2:$J$16</definedName>
    <definedName name="buski">katalog_gmin_PL26!$C$113:$C$120</definedName>
    <definedName name="gminy">#REF!</definedName>
    <definedName name="jednostka">#REF!</definedName>
    <definedName name="jędrzejowski">katalog_gmin_PL26!$D$113:$D$121</definedName>
    <definedName name="kazimierski">katalog_gmin_PL26!$E$113:$E$117</definedName>
    <definedName name="Kielce">katalog_gmin_PL26!$B$113</definedName>
    <definedName name="kielecki">katalog_gmin_PL26!$F$113:$F$131</definedName>
    <definedName name="kod_efektu">wskaźniki_efektu!$A$5:$A$16</definedName>
    <definedName name="kod_zadania_CZM">#REF!</definedName>
    <definedName name="kod_zadania_ZK">#REF!</definedName>
    <definedName name="konecki">katalog_gmin_PL26!$G$113:$G$120</definedName>
    <definedName name="las">[1]Listy!$A$1:$A$2</definedName>
    <definedName name="monit_ZSO">wskaźniki_efektu!$B$21:$B$34</definedName>
    <definedName name="nazwy_gmin" localSheetId="5">gminy_26[nazwa gminy]</definedName>
    <definedName name="nazwy_gmin" localSheetId="7">gminy_26[nazwa gminy]</definedName>
    <definedName name="nazwy_gmin">gminy_26[nazwa gminy]</definedName>
    <definedName name="nazwy_powiaty">katalogi!$B$3:$B$16</definedName>
    <definedName name="opatowski">katalog_gmin_PL26!$H$113:$H$120</definedName>
    <definedName name="ostrowiecki">katalog_gmin_PL26!$I$113:$I$118</definedName>
    <definedName name="pińczowski">katalog_gmin_PL26!$J$113:$J$117</definedName>
    <definedName name="Powiaty">katalog_gmin_PL26!$A$113:$A$126</definedName>
    <definedName name="sandomierski">katalog_gmin_PL26!$K$113:$K$121</definedName>
    <definedName name="skarżyski">katalog_gmin_PL26!$L$113:$L$117</definedName>
    <definedName name="starachowicki">katalog_gmin_PL26!$M$113:$M$117</definedName>
    <definedName name="staszowski">katalog_gmin_PL26!$N$113:$N$120</definedName>
    <definedName name="strefa_PL2401">#REF!</definedName>
    <definedName name="strefa_PL2402">#REF!</definedName>
    <definedName name="strefa_PL2403">#REF!</definedName>
    <definedName name="strefa_PL2404">#REF!</definedName>
    <definedName name="strefa_PL2405">#REF!</definedName>
    <definedName name="włoszczowski">katalog_gmin_PL26!$O$113:$O$118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40" l="1"/>
  <c r="C47" i="40"/>
  <c r="K15" i="30"/>
  <c r="S29" i="30" l="1"/>
  <c r="T29" i="30" s="1"/>
  <c r="S30" i="30"/>
  <c r="T30" i="30" s="1"/>
  <c r="S27" i="30"/>
  <c r="T27" i="30" s="1"/>
  <c r="B13" i="30"/>
  <c r="S13" i="30" s="1"/>
  <c r="T13" i="30" s="1"/>
  <c r="B14" i="30"/>
  <c r="S14" i="30" s="1"/>
  <c r="T14" i="30" s="1"/>
  <c r="B15" i="30"/>
  <c r="S15" i="30" s="1"/>
  <c r="T15" i="30" s="1"/>
  <c r="B16" i="30"/>
  <c r="S16" i="30" s="1"/>
  <c r="T16" i="30" s="1"/>
  <c r="B17" i="30"/>
  <c r="S17" i="30" s="1"/>
  <c r="T17" i="30" s="1"/>
  <c r="S18" i="30"/>
  <c r="T18" i="30" s="1"/>
  <c r="S19" i="30"/>
  <c r="T19" i="30" s="1"/>
  <c r="S20" i="30"/>
  <c r="T20" i="30" s="1"/>
  <c r="D9" i="26"/>
  <c r="C24" i="26" l="1"/>
  <c r="E23" i="26" l="1"/>
  <c r="E20" i="26"/>
  <c r="C20" i="26"/>
  <c r="D24" i="26"/>
  <c r="Z15" i="25"/>
  <c r="T5" i="25"/>
  <c r="U5" i="25"/>
  <c r="V5" i="25"/>
  <c r="W5" i="25"/>
  <c r="X5" i="25"/>
  <c r="Y5" i="25"/>
  <c r="Z5" i="25"/>
  <c r="T6" i="25"/>
  <c r="U6" i="25"/>
  <c r="V6" i="25"/>
  <c r="W6" i="25"/>
  <c r="X6" i="25"/>
  <c r="Y6" i="25"/>
  <c r="Z6" i="25"/>
  <c r="T7" i="25"/>
  <c r="U7" i="25"/>
  <c r="V7" i="25"/>
  <c r="W7" i="25"/>
  <c r="X7" i="25"/>
  <c r="Y7" i="25"/>
  <c r="Z7" i="25"/>
  <c r="T8" i="25"/>
  <c r="U8" i="25"/>
  <c r="V8" i="25"/>
  <c r="W8" i="25"/>
  <c r="X8" i="25"/>
  <c r="Y8" i="25"/>
  <c r="Z8" i="25"/>
  <c r="T9" i="25"/>
  <c r="U9" i="25"/>
  <c r="V9" i="25"/>
  <c r="W9" i="25"/>
  <c r="X9" i="25"/>
  <c r="Y9" i="25"/>
  <c r="Z9" i="25"/>
  <c r="T10" i="25"/>
  <c r="U10" i="25"/>
  <c r="V10" i="25"/>
  <c r="W10" i="25"/>
  <c r="X10" i="25"/>
  <c r="Y10" i="25"/>
  <c r="Z10" i="25"/>
  <c r="T11" i="25"/>
  <c r="U11" i="25"/>
  <c r="V11" i="25"/>
  <c r="W11" i="25"/>
  <c r="X11" i="25"/>
  <c r="Y11" i="25"/>
  <c r="Z11" i="25"/>
  <c r="T12" i="25"/>
  <c r="U12" i="25"/>
  <c r="V12" i="25"/>
  <c r="W12" i="25"/>
  <c r="X12" i="25"/>
  <c r="Y12" i="25"/>
  <c r="Z12" i="25"/>
  <c r="T13" i="25"/>
  <c r="U13" i="25"/>
  <c r="V13" i="25"/>
  <c r="W13" i="25"/>
  <c r="X13" i="25"/>
  <c r="Y13" i="25"/>
  <c r="Z13" i="25"/>
  <c r="T14" i="25"/>
  <c r="U14" i="25"/>
  <c r="V14" i="25"/>
  <c r="W14" i="25"/>
  <c r="X14" i="25"/>
  <c r="Y14" i="25"/>
  <c r="Z14" i="25"/>
  <c r="T15" i="25"/>
  <c r="U15" i="25"/>
  <c r="V15" i="25"/>
  <c r="W15" i="25"/>
  <c r="X15" i="25"/>
  <c r="Y15" i="25"/>
  <c r="T16" i="25"/>
  <c r="U16" i="25"/>
  <c r="V16" i="25"/>
  <c r="W16" i="25"/>
  <c r="X16" i="25"/>
  <c r="Y16" i="25"/>
  <c r="Z16" i="25"/>
  <c r="T17" i="25"/>
  <c r="U17" i="25"/>
  <c r="V17" i="25"/>
  <c r="W17" i="25"/>
  <c r="X17" i="25"/>
  <c r="Y17" i="25"/>
  <c r="Z17" i="25"/>
  <c r="Z4" i="25"/>
  <c r="Y4" i="25"/>
  <c r="X4" i="25"/>
  <c r="W4" i="25"/>
  <c r="V4" i="25"/>
  <c r="U4" i="25"/>
  <c r="T4" i="25"/>
  <c r="F2" i="30" l="1"/>
  <c r="B12" i="30" l="1"/>
  <c r="B11" i="30"/>
  <c r="B9" i="30"/>
  <c r="C9" i="30" s="1"/>
  <c r="D9" i="30" s="1"/>
  <c r="E9" i="30" s="1"/>
  <c r="F9" i="30" s="1"/>
  <c r="G9" i="30" s="1"/>
  <c r="H9" i="30" s="1"/>
  <c r="I9" i="30" s="1"/>
  <c r="J9" i="30" s="1"/>
  <c r="K9" i="30" s="1"/>
  <c r="L9" i="30" s="1"/>
  <c r="O6" i="30"/>
  <c r="N6" i="30"/>
  <c r="C46" i="40" s="1"/>
  <c r="J6" i="30"/>
  <c r="I6" i="30"/>
  <c r="C39" i="40" l="1"/>
  <c r="C35" i="40"/>
  <c r="M9" i="30"/>
  <c r="N9" i="30" s="1"/>
  <c r="O9" i="30" s="1"/>
  <c r="P9" i="30" s="1"/>
  <c r="G14" i="27" l="1"/>
  <c r="G15" i="27"/>
  <c r="G16" i="27"/>
  <c r="G17" i="27"/>
  <c r="G18" i="27"/>
  <c r="G19" i="27"/>
  <c r="G20" i="27"/>
  <c r="G21" i="27"/>
  <c r="G22" i="27"/>
  <c r="G13" i="27"/>
  <c r="I7" i="27"/>
  <c r="J7" i="27"/>
  <c r="K7" i="27"/>
  <c r="L7" i="27"/>
  <c r="M7" i="27"/>
  <c r="E39" i="40" s="1"/>
  <c r="N7" i="27"/>
  <c r="O7" i="27"/>
  <c r="P7" i="27"/>
  <c r="Q7" i="27"/>
  <c r="H7" i="27"/>
  <c r="E35" i="40" s="1"/>
  <c r="G7" i="27" l="1"/>
  <c r="AI22" i="27"/>
  <c r="B22" i="27"/>
  <c r="AI21" i="27"/>
  <c r="B21" i="27"/>
  <c r="AI20" i="27"/>
  <c r="B20" i="27"/>
  <c r="AI19" i="27"/>
  <c r="B19" i="27"/>
  <c r="AI18" i="27"/>
  <c r="B18" i="27"/>
  <c r="AI17" i="27"/>
  <c r="B17" i="27"/>
  <c r="AI16" i="27"/>
  <c r="B16" i="27"/>
  <c r="AI15" i="27"/>
  <c r="B15" i="27"/>
  <c r="AI14" i="27"/>
  <c r="B14" i="27"/>
  <c r="AI13" i="27"/>
  <c r="B13" i="27"/>
  <c r="B11" i="27"/>
  <c r="C11" i="27" s="1"/>
  <c r="D11" i="27" s="1"/>
  <c r="E11" i="27" s="1"/>
  <c r="F11" i="27" s="1"/>
  <c r="G11" i="27" s="1"/>
  <c r="H11" i="27" s="1"/>
  <c r="I11" i="27" s="1"/>
  <c r="J11" i="27" s="1"/>
  <c r="K11" i="27" s="1"/>
  <c r="L11" i="27" s="1"/>
  <c r="M11" i="27" s="1"/>
  <c r="N11" i="27" s="1"/>
  <c r="O11" i="27" s="1"/>
  <c r="P11" i="27" s="1"/>
  <c r="Q11" i="27" s="1"/>
  <c r="F4" i="18"/>
  <c r="G4" i="18"/>
  <c r="H4" i="18"/>
  <c r="I4" i="18"/>
  <c r="J4" i="18"/>
  <c r="B9" i="18"/>
  <c r="D39" i="40" l="1"/>
  <c r="D37" i="40"/>
  <c r="D35" i="40"/>
  <c r="D33" i="40"/>
  <c r="D31" i="40"/>
  <c r="B11" i="18"/>
  <c r="B12" i="18"/>
  <c r="B13" i="18"/>
  <c r="B14" i="18"/>
  <c r="B15" i="18"/>
  <c r="B16" i="18"/>
  <c r="B17" i="18"/>
  <c r="B18" i="18"/>
  <c r="B10" i="18"/>
  <c r="C3" i="4" l="1"/>
  <c r="C4" i="4"/>
  <c r="C5" i="4"/>
  <c r="C6" i="4"/>
  <c r="C7" i="4"/>
  <c r="C8" i="4"/>
  <c r="C9" i="4"/>
  <c r="C10" i="4"/>
  <c r="C11" i="4"/>
  <c r="C12" i="4"/>
  <c r="C13" i="4"/>
  <c r="C14" i="4"/>
  <c r="C15" i="4"/>
  <c r="C16" i="4"/>
  <c r="C4" i="25"/>
  <c r="C5" i="25"/>
  <c r="C6" i="25"/>
  <c r="C7" i="25"/>
  <c r="C8" i="25"/>
  <c r="C9" i="25"/>
  <c r="C10" i="25"/>
  <c r="C11" i="25"/>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53" i="25"/>
  <c r="C79" i="25"/>
  <c r="C80" i="25"/>
  <c r="C81" i="25"/>
  <c r="C82" i="25"/>
  <c r="C83" i="25"/>
  <c r="C84" i="25"/>
  <c r="C85" i="25"/>
  <c r="C86" i="25"/>
  <c r="C87" i="25"/>
  <c r="C88" i="25"/>
  <c r="C89" i="25"/>
  <c r="C90" i="25"/>
  <c r="C91" i="25"/>
  <c r="C92" i="25"/>
  <c r="C93" i="25"/>
  <c r="C94" i="25"/>
  <c r="C95" i="25"/>
  <c r="C96" i="25"/>
  <c r="C97" i="25"/>
  <c r="C98" i="25"/>
  <c r="C99" i="25"/>
  <c r="C100" i="25"/>
  <c r="C101" i="25"/>
  <c r="C102" i="25"/>
  <c r="C103" i="25"/>
  <c r="C104" i="25"/>
  <c r="C105" i="25"/>
  <c r="E3" i="4"/>
  <c r="E4" i="4"/>
  <c r="E5" i="4"/>
  <c r="E6" i="4"/>
  <c r="E7" i="4"/>
  <c r="E8" i="4"/>
  <c r="E9" i="4"/>
  <c r="E10" i="4"/>
  <c r="E11" i="4"/>
  <c r="E12" i="4"/>
  <c r="E13" i="4"/>
  <c r="E14" i="4"/>
  <c r="E15" i="4"/>
  <c r="E16" i="4"/>
  <c r="G4" i="25"/>
  <c r="G5" i="25"/>
  <c r="G6" i="25"/>
  <c r="G7" i="25"/>
  <c r="G8" i="25"/>
  <c r="G9" i="25"/>
  <c r="G10" i="25"/>
  <c r="G11" i="25"/>
  <c r="G12"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53"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B1" i="25"/>
  <c r="C1" i="25" s="1"/>
  <c r="D1" i="25" s="1"/>
  <c r="F23" i="26" l="1"/>
  <c r="F8" i="26"/>
  <c r="F4" i="30"/>
  <c r="C27" i="40" s="1"/>
  <c r="S28" i="30"/>
  <c r="S23" i="30"/>
  <c r="S24" i="30"/>
  <c r="S31" i="30"/>
  <c r="T31" i="30" s="1"/>
  <c r="S26" i="30"/>
  <c r="S12" i="30"/>
  <c r="S11" i="30"/>
  <c r="T11" i="30" s="1"/>
  <c r="S25" i="30"/>
  <c r="S21" i="30"/>
  <c r="T21" i="30" s="1"/>
  <c r="S22" i="30"/>
  <c r="T22" i="30" s="1"/>
  <c r="E1" i="25"/>
  <c r="F1" i="25" s="1"/>
  <c r="G1" i="25" s="1"/>
  <c r="H1" i="25" s="1"/>
  <c r="I1" i="25" s="1"/>
  <c r="T3" i="25" l="1"/>
  <c r="C23" i="26"/>
  <c r="D22" i="26"/>
  <c r="C22" i="26"/>
  <c r="J1" i="25"/>
  <c r="T24" i="30"/>
  <c r="T23" i="30"/>
  <c r="T28" i="30"/>
  <c r="T25" i="30"/>
  <c r="D7" i="26"/>
  <c r="F3" i="30"/>
  <c r="T12" i="30"/>
  <c r="T26" i="30"/>
  <c r="C7" i="26"/>
  <c r="C8" i="26"/>
  <c r="C14" i="30" l="1"/>
  <c r="C15" i="30"/>
  <c r="C16" i="30"/>
  <c r="C13" i="30"/>
  <c r="C17" i="30"/>
  <c r="D13" i="30"/>
  <c r="D14" i="30"/>
  <c r="D15" i="30"/>
  <c r="D16" i="30"/>
  <c r="D17" i="30"/>
  <c r="C13" i="18"/>
  <c r="C15" i="27"/>
  <c r="C13" i="27"/>
  <c r="C17" i="27"/>
  <c r="C11" i="18"/>
  <c r="C12" i="18"/>
  <c r="C14" i="18"/>
  <c r="C16" i="27"/>
  <c r="C15" i="18"/>
  <c r="C19" i="27"/>
  <c r="C21" i="27"/>
  <c r="C22" i="27"/>
  <c r="C16" i="18"/>
  <c r="C18" i="27"/>
  <c r="D12" i="30"/>
  <c r="C17" i="18"/>
  <c r="C9" i="18"/>
  <c r="C10" i="18"/>
  <c r="C18" i="18"/>
  <c r="C20" i="27"/>
  <c r="C14" i="27"/>
  <c r="K1" i="25"/>
  <c r="U3" i="25"/>
  <c r="C12" i="30"/>
  <c r="C11" i="30"/>
  <c r="L4" i="18"/>
  <c r="K4" i="18"/>
  <c r="D46" i="40" s="1"/>
  <c r="D11" i="30"/>
  <c r="L1" i="25" l="1"/>
  <c r="V3" i="25"/>
  <c r="B1" i="20"/>
  <c r="C1" i="20" s="1"/>
  <c r="R16" i="30" l="1"/>
  <c r="R24" i="30"/>
  <c r="R25" i="30"/>
  <c r="R19" i="30"/>
  <c r="R27" i="30"/>
  <c r="R31" i="30"/>
  <c r="R17" i="30"/>
  <c r="R18" i="30"/>
  <c r="R26" i="30"/>
  <c r="R12" i="30"/>
  <c r="R20" i="30"/>
  <c r="R28" i="30"/>
  <c r="R13" i="30"/>
  <c r="R21" i="30"/>
  <c r="R29" i="30"/>
  <c r="R23" i="30"/>
  <c r="R14" i="30"/>
  <c r="R22" i="30"/>
  <c r="R30" i="30"/>
  <c r="R15" i="30"/>
  <c r="R11" i="30"/>
  <c r="M1" i="25"/>
  <c r="W3" i="25"/>
  <c r="D1" i="20"/>
  <c r="AE10" i="18"/>
  <c r="AE11" i="18"/>
  <c r="AE12" i="18"/>
  <c r="AE13" i="18"/>
  <c r="AE14" i="18"/>
  <c r="AE15" i="18"/>
  <c r="AE16" i="18"/>
  <c r="AE17" i="18"/>
  <c r="AE18" i="18"/>
  <c r="AE9" i="18"/>
  <c r="L15" i="30" l="1"/>
  <c r="M15" i="30"/>
  <c r="K13" i="30"/>
  <c r="L13" i="30"/>
  <c r="M13" i="30"/>
  <c r="M14" i="30"/>
  <c r="K14" i="30"/>
  <c r="L14" i="30"/>
  <c r="K17" i="30"/>
  <c r="M17" i="30"/>
  <c r="L17" i="30"/>
  <c r="K16" i="30"/>
  <c r="M16" i="30"/>
  <c r="L16" i="30"/>
  <c r="K11" i="30"/>
  <c r="L11" i="30"/>
  <c r="M11" i="30"/>
  <c r="L12" i="30"/>
  <c r="K12" i="30"/>
  <c r="M12" i="30"/>
  <c r="N1" i="25"/>
  <c r="X3" i="25"/>
  <c r="E1" i="20"/>
  <c r="L6" i="30" l="1"/>
  <c r="K6" i="30"/>
  <c r="M6" i="30"/>
  <c r="Y3" i="25"/>
  <c r="O1" i="25"/>
  <c r="B7" i="18"/>
  <c r="C7" i="18" s="1"/>
  <c r="D7" i="18" s="1"/>
  <c r="E7" i="18" s="1"/>
  <c r="C41" i="40" l="1"/>
  <c r="C45" i="40"/>
  <c r="C43" i="40"/>
  <c r="Z3" i="25"/>
  <c r="P1" i="25"/>
  <c r="F7" i="18"/>
  <c r="G7" i="18" s="1"/>
  <c r="H7" i="18" s="1"/>
  <c r="I7" i="18" s="1"/>
  <c r="J7" i="18" s="1"/>
  <c r="K7" i="18" s="1"/>
  <c r="L7" i="18" s="1"/>
  <c r="M7" i="18" s="1"/>
  <c r="Q1" i="25" l="1"/>
  <c r="R1" i="25" s="1"/>
  <c r="S1" i="25" s="1"/>
  <c r="T1" i="25" s="1"/>
  <c r="E2" i="18"/>
  <c r="D27" i="40" s="1"/>
  <c r="B1" i="4"/>
  <c r="K4" i="4"/>
  <c r="K3" i="4"/>
  <c r="E5" i="25" l="1"/>
  <c r="E12" i="25"/>
  <c r="E20" i="25"/>
  <c r="E28" i="25"/>
  <c r="E36" i="25"/>
  <c r="E44" i="25"/>
  <c r="E52" i="25"/>
  <c r="E61" i="25"/>
  <c r="E69" i="25"/>
  <c r="E77" i="25"/>
  <c r="E84" i="25"/>
  <c r="E92" i="25"/>
  <c r="E100" i="25"/>
  <c r="E33" i="25"/>
  <c r="E74" i="25"/>
  <c r="E19" i="25"/>
  <c r="E68" i="25"/>
  <c r="E13" i="25"/>
  <c r="E21" i="25"/>
  <c r="E29" i="25"/>
  <c r="E37" i="25"/>
  <c r="E45" i="25"/>
  <c r="E54" i="25"/>
  <c r="E62" i="25"/>
  <c r="E70" i="25"/>
  <c r="E78" i="25"/>
  <c r="E85" i="25"/>
  <c r="E93" i="25"/>
  <c r="E101" i="25"/>
  <c r="E41" i="25"/>
  <c r="E89" i="25"/>
  <c r="E27" i="25"/>
  <c r="E83" i="25"/>
  <c r="E6" i="25"/>
  <c r="E14" i="25"/>
  <c r="E22" i="25"/>
  <c r="E30" i="25"/>
  <c r="E38" i="25"/>
  <c r="E46" i="25"/>
  <c r="E55" i="25"/>
  <c r="E63" i="25"/>
  <c r="E71" i="25"/>
  <c r="E53" i="25"/>
  <c r="E86" i="25"/>
  <c r="E94" i="25"/>
  <c r="E102" i="25"/>
  <c r="E95" i="25"/>
  <c r="E103" i="25"/>
  <c r="E9" i="25"/>
  <c r="E49" i="25"/>
  <c r="E81" i="25"/>
  <c r="E51" i="25"/>
  <c r="E91" i="25"/>
  <c r="E7" i="25"/>
  <c r="E15" i="25"/>
  <c r="E23" i="25"/>
  <c r="E31" i="25"/>
  <c r="E39" i="25"/>
  <c r="E47" i="25"/>
  <c r="E56" i="25"/>
  <c r="E64" i="25"/>
  <c r="E72" i="25"/>
  <c r="E79" i="25"/>
  <c r="E87" i="25"/>
  <c r="E96" i="25"/>
  <c r="E17" i="25"/>
  <c r="E58" i="25"/>
  <c r="E97" i="25"/>
  <c r="E60" i="25"/>
  <c r="E8" i="25"/>
  <c r="E16" i="25"/>
  <c r="E24" i="25"/>
  <c r="E32" i="25"/>
  <c r="E40" i="25"/>
  <c r="E48" i="25"/>
  <c r="E57" i="25"/>
  <c r="E65" i="25"/>
  <c r="E73" i="25"/>
  <c r="E80" i="25"/>
  <c r="E88" i="25"/>
  <c r="E104" i="25"/>
  <c r="E25" i="25"/>
  <c r="E66" i="25"/>
  <c r="E105" i="25"/>
  <c r="E35" i="25"/>
  <c r="E99" i="25"/>
  <c r="C1" i="4"/>
  <c r="D1" i="4" s="1"/>
  <c r="E10" i="25"/>
  <c r="E18" i="25"/>
  <c r="E26" i="25"/>
  <c r="E34" i="25"/>
  <c r="E42" i="25"/>
  <c r="E50" i="25"/>
  <c r="E59" i="25"/>
  <c r="E67" i="25"/>
  <c r="E75" i="25"/>
  <c r="E82" i="25"/>
  <c r="E90" i="25"/>
  <c r="E98" i="25"/>
  <c r="E11" i="25"/>
  <c r="E43" i="25"/>
  <c r="E76" i="25"/>
  <c r="U1" i="25"/>
  <c r="V1" i="25" s="1"/>
  <c r="W1" i="25" s="1"/>
  <c r="X1" i="25" s="1"/>
  <c r="Y1" i="25" s="1"/>
  <c r="Z1" i="25" s="1"/>
  <c r="E2" i="27"/>
  <c r="E1" i="4" l="1"/>
  <c r="F22" i="26"/>
  <c r="F7" i="26"/>
  <c r="E27" i="40"/>
  <c r="F1" i="4" l="1"/>
  <c r="G1" i="4" s="1"/>
  <c r="H1" i="4" s="1"/>
  <c r="I1" i="4" s="1"/>
  <c r="J1" i="4" s="1"/>
  <c r="K1" i="4" s="1"/>
  <c r="L1" i="4" s="1"/>
  <c r="M1" i="4" s="1"/>
  <c r="N1" i="4" s="1"/>
  <c r="E22" i="26"/>
  <c r="E7" i="26"/>
  <c r="E16" i="30" l="1"/>
  <c r="D18" i="27"/>
  <c r="D14" i="27"/>
  <c r="E11" i="30"/>
  <c r="D16" i="18"/>
  <c r="D18" i="18"/>
  <c r="O1" i="4"/>
  <c r="D11" i="18"/>
  <c r="D20" i="27"/>
  <c r="D21" i="27"/>
  <c r="E13" i="30"/>
  <c r="D13" i="18"/>
  <c r="E17" i="30"/>
  <c r="E15" i="30"/>
  <c r="D17" i="18"/>
  <c r="E14" i="30"/>
  <c r="D13" i="27"/>
  <c r="E12" i="30"/>
  <c r="D22" i="27"/>
  <c r="D16" i="27"/>
  <c r="D17" i="27"/>
  <c r="D15" i="18"/>
  <c r="D19" i="27"/>
  <c r="D12" i="18"/>
  <c r="D14" i="18"/>
  <c r="D15" i="27"/>
  <c r="D10" i="18"/>
  <c r="D9" i="18"/>
</calcChain>
</file>

<file path=xl/sharedStrings.xml><?xml version="1.0" encoding="utf-8"?>
<sst xmlns="http://schemas.openxmlformats.org/spreadsheetml/2006/main" count="1185" uniqueCount="593">
  <si>
    <t>powiat</t>
  </si>
  <si>
    <t>województwo</t>
  </si>
  <si>
    <t>kod strefy</t>
  </si>
  <si>
    <t>nazwa strefy</t>
  </si>
  <si>
    <t>województo</t>
  </si>
  <si>
    <t>nazwa gminy</t>
  </si>
  <si>
    <t>kod gminy</t>
  </si>
  <si>
    <t>Lp.</t>
  </si>
  <si>
    <t>Województwo</t>
  </si>
  <si>
    <t>Uwagi</t>
  </si>
  <si>
    <t>Zawartość</t>
  </si>
  <si>
    <t>do tabel sprawozdawczych</t>
  </si>
  <si>
    <t>Adres pocztowy Urzędu Marszałkowskiego</t>
  </si>
  <si>
    <t>Numer służbowego faksu osoby do kontaktu</t>
  </si>
  <si>
    <t>Opatów</t>
  </si>
  <si>
    <t>Powiat</t>
  </si>
  <si>
    <t>Strefa i kod strefy</t>
  </si>
  <si>
    <t>kod zadania</t>
  </si>
  <si>
    <t>lokalizacja</t>
  </si>
  <si>
    <t>krótki opis prowadzonych działań</t>
  </si>
  <si>
    <t>krótko opisać rodzaj prowadzonych działań inwestycyjnych lub modernizacyjnych i ich wpływ na wielkość emisji zanieczyszczeń do powietrza</t>
  </si>
  <si>
    <t>podać koszty sumaryczne poniesione na realizację zadania</t>
  </si>
  <si>
    <r>
      <t>kod zadania</t>
    </r>
    <r>
      <rPr>
        <sz val="9"/>
        <color theme="1"/>
        <rFont val="Calibri"/>
        <family val="2"/>
        <charset val="238"/>
      </rPr>
      <t xml:space="preserve"> </t>
    </r>
  </si>
  <si>
    <r>
      <t>nazwa zadania</t>
    </r>
    <r>
      <rPr>
        <sz val="9"/>
        <color rgb="FF000000"/>
        <rFont val="Calibri"/>
        <family val="2"/>
        <charset val="238"/>
      </rPr>
      <t xml:space="preserve"> </t>
    </r>
  </si>
  <si>
    <t>Ograniczenie emisji z instalacji o małej mocy do 1 MW, w których następuje spalanie paliw stałych</t>
  </si>
  <si>
    <t>[szt.]</t>
  </si>
  <si>
    <t>gmina</t>
  </si>
  <si>
    <t>opisać jakie działania edukacyjne były prowadzone w ramach realizacji POP</t>
  </si>
  <si>
    <t>EE</t>
  </si>
  <si>
    <t>jeżeli uzyskano dofinansowanie podać w jakiej kwocie</t>
  </si>
  <si>
    <t>podać liczbę przeprowadzonych kampanii edukacyjnych opisanych w kolumnie 5</t>
  </si>
  <si>
    <t>PM10</t>
  </si>
  <si>
    <t>PM2,5</t>
  </si>
  <si>
    <t>rodzaj działania</t>
  </si>
  <si>
    <t>wypełnia się automatycznie</t>
  </si>
  <si>
    <t>B(a)P</t>
  </si>
  <si>
    <t>w_c.o.</t>
  </si>
  <si>
    <t>likwidacja kotła węglowego - podłączenie do sieci cieplnej</t>
  </si>
  <si>
    <t>w_elektr</t>
  </si>
  <si>
    <t>zmiana ogrzewania węglowego na elektryczne</t>
  </si>
  <si>
    <t>w_gaz</t>
  </si>
  <si>
    <t>zmiana paliwa węglowego na gazowe</t>
  </si>
  <si>
    <t>w_olej</t>
  </si>
  <si>
    <t>instalacja kolektorów słonecznych bez zmiany kotła węglowego</t>
  </si>
  <si>
    <t>wskaźnik redukcji emisji (efektu ekologicznego)</t>
  </si>
  <si>
    <t>kod działania</t>
  </si>
  <si>
    <t>w_pompa</t>
  </si>
  <si>
    <t>[kg/rok]</t>
  </si>
  <si>
    <t>czy pobierać</t>
  </si>
  <si>
    <r>
      <t>koszty łącznie [zł/rok]</t>
    </r>
    <r>
      <rPr>
        <b/>
        <sz val="9"/>
        <color rgb="FFFF0000"/>
        <rFont val="Calibri"/>
        <family val="2"/>
        <charset val="238"/>
      </rPr>
      <t>*</t>
    </r>
  </si>
  <si>
    <t>zmiana paliwa węglowego na olej opałowy</t>
  </si>
  <si>
    <t>ks+WK_R</t>
  </si>
  <si>
    <t>instalacja pompy ciepła (ziemnej lub powietrznej)</t>
  </si>
  <si>
    <t>termo+gaz</t>
  </si>
  <si>
    <t>termo+olej</t>
  </si>
  <si>
    <t>wypełnia się automatycznie, zgodnie z tabelą informacyjną</t>
  </si>
  <si>
    <t>świętokrzyskie</t>
  </si>
  <si>
    <t>Urząd Marszałkowski Województwa Świętokrzyskiego</t>
  </si>
  <si>
    <t>PL2601</t>
  </si>
  <si>
    <t>miasto Kielce</t>
  </si>
  <si>
    <t>PL2602</t>
  </si>
  <si>
    <t>strefa świętokrzyska</t>
  </si>
  <si>
    <t>2601</t>
  </si>
  <si>
    <t>2602</t>
  </si>
  <si>
    <t>2603</t>
  </si>
  <si>
    <t>2604</t>
  </si>
  <si>
    <t>2605</t>
  </si>
  <si>
    <t>2606</t>
  </si>
  <si>
    <t>2607</t>
  </si>
  <si>
    <t>2608</t>
  </si>
  <si>
    <t>2609</t>
  </si>
  <si>
    <t>2610</t>
  </si>
  <si>
    <t>2611</t>
  </si>
  <si>
    <t>2612</t>
  </si>
  <si>
    <t>2613</t>
  </si>
  <si>
    <t>2661</t>
  </si>
  <si>
    <t>buski</t>
  </si>
  <si>
    <t>jędrzejowski</t>
  </si>
  <si>
    <t>kazimierski</t>
  </si>
  <si>
    <t>kielecki</t>
  </si>
  <si>
    <t>konecki</t>
  </si>
  <si>
    <t>opatowski</t>
  </si>
  <si>
    <t>ostrowiecki</t>
  </si>
  <si>
    <t>pińczowski</t>
  </si>
  <si>
    <t>sandomierski</t>
  </si>
  <si>
    <t>skarżyski</t>
  </si>
  <si>
    <t>starachowicki</t>
  </si>
  <si>
    <t>staszowski</t>
  </si>
  <si>
    <t>włoszczowski</t>
  </si>
  <si>
    <t>PL2601_ZSO</t>
  </si>
  <si>
    <t>PL2602_ZSO</t>
  </si>
  <si>
    <t>PL2601_EE</t>
  </si>
  <si>
    <t>PL2602_EE</t>
  </si>
  <si>
    <t>PL2601_KPP</t>
  </si>
  <si>
    <t>PL2602_KPP</t>
  </si>
  <si>
    <t>PL2601_BDO</t>
  </si>
  <si>
    <t>PL2602_BDO</t>
  </si>
  <si>
    <t>Prowadzenie kontroli przestrzegania przepisów ograniczających używanie paliw lub urządzeń do celów grzewczych oraz zakazu spalania odpadów</t>
  </si>
  <si>
    <t>Ograniczenie oddziaływania transportu drogowego poprzez wyprowadzenie ruchu tranzytowego poza tereny miejskie</t>
  </si>
  <si>
    <t>2606012</t>
  </si>
  <si>
    <t>Baćkowice</t>
  </si>
  <si>
    <t>2607022</t>
  </si>
  <si>
    <t>Bałtów</t>
  </si>
  <si>
    <t>2603012</t>
  </si>
  <si>
    <t>Bejsce</t>
  </si>
  <si>
    <t>2604012</t>
  </si>
  <si>
    <t>Bieliny</t>
  </si>
  <si>
    <t>2610022</t>
  </si>
  <si>
    <t>Bliżyn</t>
  </si>
  <si>
    <t>2607032</t>
  </si>
  <si>
    <t>Bodzechów</t>
  </si>
  <si>
    <t>2604023</t>
  </si>
  <si>
    <t>Bodzentyn</t>
  </si>
  <si>
    <t>2612012</t>
  </si>
  <si>
    <t>Bogoria</t>
  </si>
  <si>
    <t>2611022</t>
  </si>
  <si>
    <t>Brody</t>
  </si>
  <si>
    <t>2601013</t>
  </si>
  <si>
    <t>Busko-Zdrój</t>
  </si>
  <si>
    <t>2604033</t>
  </si>
  <si>
    <t>Chęciny</t>
  </si>
  <si>
    <t>2604043</t>
  </si>
  <si>
    <t>Chmielnik</t>
  </si>
  <si>
    <t>2603022</t>
  </si>
  <si>
    <t>Czarnocin</t>
  </si>
  <si>
    <t>2607043</t>
  </si>
  <si>
    <t>Ćmielów</t>
  </si>
  <si>
    <t>2604053</t>
  </si>
  <si>
    <t>Daleszyce</t>
  </si>
  <si>
    <t>2609022</t>
  </si>
  <si>
    <t>Dwikozy</t>
  </si>
  <si>
    <t>2608013</t>
  </si>
  <si>
    <t>Działoszyce</t>
  </si>
  <si>
    <t>2605012</t>
  </si>
  <si>
    <t>Fałków</t>
  </si>
  <si>
    <t>2601022</t>
  </si>
  <si>
    <t>Gnojno</t>
  </si>
  <si>
    <t>2605022</t>
  </si>
  <si>
    <t>Gowarczów</t>
  </si>
  <si>
    <t>2604062</t>
  </si>
  <si>
    <t>Górno</t>
  </si>
  <si>
    <t>2602012</t>
  </si>
  <si>
    <t>Imielno</t>
  </si>
  <si>
    <t>2606022</t>
  </si>
  <si>
    <t>Iwaniska</t>
  </si>
  <si>
    <t>2602023</t>
  </si>
  <si>
    <t>Jędrzejów</t>
  </si>
  <si>
    <t>2603033</t>
  </si>
  <si>
    <t>Kazimierza Wielka</t>
  </si>
  <si>
    <t>2608022</t>
  </si>
  <si>
    <t>Kije</t>
  </si>
  <si>
    <t>2609032</t>
  </si>
  <si>
    <t>Klimontów</t>
  </si>
  <si>
    <t>2613012</t>
  </si>
  <si>
    <t>Kluczewsko</t>
  </si>
  <si>
    <t>2605033</t>
  </si>
  <si>
    <t>Końskie</t>
  </si>
  <si>
    <t>2609043</t>
  </si>
  <si>
    <t>Koprzywnica</t>
  </si>
  <si>
    <t>2613022</t>
  </si>
  <si>
    <t>Krasocin</t>
  </si>
  <si>
    <t>2607053</t>
  </si>
  <si>
    <t>Kunów</t>
  </si>
  <si>
    <t>2606032</t>
  </si>
  <si>
    <t>Lipnik</t>
  </si>
  <si>
    <t>2604073</t>
  </si>
  <si>
    <t>Łagów</t>
  </si>
  <si>
    <t>2610032</t>
  </si>
  <si>
    <t>Łączna</t>
  </si>
  <si>
    <t>2609052</t>
  </si>
  <si>
    <t>Łoniów</t>
  </si>
  <si>
    <t>2604082</t>
  </si>
  <si>
    <t>Łopuszno</t>
  </si>
  <si>
    <t>2612022</t>
  </si>
  <si>
    <t>Łubnice</t>
  </si>
  <si>
    <t>2602033</t>
  </si>
  <si>
    <t>Małogoszcz</t>
  </si>
  <si>
    <t>2604092</t>
  </si>
  <si>
    <t>Masłów</t>
  </si>
  <si>
    <t>2608032</t>
  </si>
  <si>
    <t>Michałów</t>
  </si>
  <si>
    <t>2604102</t>
  </si>
  <si>
    <t>Miedziana Góra</t>
  </si>
  <si>
    <t>2611032</t>
  </si>
  <si>
    <t>Mirzec</t>
  </si>
  <si>
    <t>2604112</t>
  </si>
  <si>
    <t>Mniów</t>
  </si>
  <si>
    <t>2604123</t>
  </si>
  <si>
    <t>Morawica</t>
  </si>
  <si>
    <t>2613032</t>
  </si>
  <si>
    <t>Moskorzew</t>
  </si>
  <si>
    <t>2602042</t>
  </si>
  <si>
    <t>Nagłowice</t>
  </si>
  <si>
    <t>2604132</t>
  </si>
  <si>
    <t>Nowa Słupia</t>
  </si>
  <si>
    <t>2601032</t>
  </si>
  <si>
    <t>Nowy Korczyn</t>
  </si>
  <si>
    <t>2609062</t>
  </si>
  <si>
    <t>Obrazów</t>
  </si>
  <si>
    <t>2602052</t>
  </si>
  <si>
    <t>Oksa</t>
  </si>
  <si>
    <t>2612032</t>
  </si>
  <si>
    <t>Oleśnica</t>
  </si>
  <si>
    <t>2603042</t>
  </si>
  <si>
    <t>Opatowiec</t>
  </si>
  <si>
    <t>2606043</t>
  </si>
  <si>
    <t>2612043</t>
  </si>
  <si>
    <t>Osiek</t>
  </si>
  <si>
    <t>2607011</t>
  </si>
  <si>
    <t>Ostrowiec Świętokrzyski</t>
  </si>
  <si>
    <t>2606053</t>
  </si>
  <si>
    <t>Ożarów</t>
  </si>
  <si>
    <t>2601042</t>
  </si>
  <si>
    <t>Pacanów</t>
  </si>
  <si>
    <t>2611042</t>
  </si>
  <si>
    <t>Pawłów</t>
  </si>
  <si>
    <t>2604142</t>
  </si>
  <si>
    <t>Piekoszów</t>
  </si>
  <si>
    <t>2604152</t>
  </si>
  <si>
    <t>Pierzchnica</t>
  </si>
  <si>
    <t>2608043</t>
  </si>
  <si>
    <t>Pińczów</t>
  </si>
  <si>
    <t>2612053</t>
  </si>
  <si>
    <t>Połaniec</t>
  </si>
  <si>
    <t>2613042</t>
  </si>
  <si>
    <t>Radków</t>
  </si>
  <si>
    <t>2605043</t>
  </si>
  <si>
    <t>Radoszyce</t>
  </si>
  <si>
    <t>2604162</t>
  </si>
  <si>
    <t>Raków</t>
  </si>
  <si>
    <t>2605052</t>
  </si>
  <si>
    <t>Ruda Maleniecka</t>
  </si>
  <si>
    <t>2612062</t>
  </si>
  <si>
    <t>Rytwiany</t>
  </si>
  <si>
    <t>2606062</t>
  </si>
  <si>
    <t>Sadowie</t>
  </si>
  <si>
    <t>2609072</t>
  </si>
  <si>
    <t>Samborzec</t>
  </si>
  <si>
    <t>2609011</t>
  </si>
  <si>
    <t>Sandomierz</t>
  </si>
  <si>
    <t>2613052</t>
  </si>
  <si>
    <t>Secemin</t>
  </si>
  <si>
    <t>2602063</t>
  </si>
  <si>
    <t>Sędziszów</t>
  </si>
  <si>
    <t>2604172</t>
  </si>
  <si>
    <t>2603053</t>
  </si>
  <si>
    <t>Skalbmierz</t>
  </si>
  <si>
    <t>2610042</t>
  </si>
  <si>
    <t>Skarżysko Kościelne</t>
  </si>
  <si>
    <t>2610011</t>
  </si>
  <si>
    <t>Skarżysko-Kamienna</t>
  </si>
  <si>
    <t>2602072</t>
  </si>
  <si>
    <t>Słupia</t>
  </si>
  <si>
    <t>2605062</t>
  </si>
  <si>
    <t>2605072</t>
  </si>
  <si>
    <t>Smyków</t>
  </si>
  <si>
    <t>2602082</t>
  </si>
  <si>
    <t>Sobków</t>
  </si>
  <si>
    <t>2601052</t>
  </si>
  <si>
    <t>Solec-Zdrój</t>
  </si>
  <si>
    <t>2611011</t>
  </si>
  <si>
    <t>Starachowice</t>
  </si>
  <si>
    <t>2612073</t>
  </si>
  <si>
    <t>Staszów</t>
  </si>
  <si>
    <t>2605083</t>
  </si>
  <si>
    <t>Stąporków</t>
  </si>
  <si>
    <t>2601063</t>
  </si>
  <si>
    <t>Stopnica</t>
  </si>
  <si>
    <t>2604182</t>
  </si>
  <si>
    <t>Strawczyn</t>
  </si>
  <si>
    <t>2610053</t>
  </si>
  <si>
    <t>Suchedniów</t>
  </si>
  <si>
    <t>2612082</t>
  </si>
  <si>
    <t>Szydłów</t>
  </si>
  <si>
    <t>2606072</t>
  </si>
  <si>
    <t>Tarłów</t>
  </si>
  <si>
    <t>2601072</t>
  </si>
  <si>
    <t>Tuczępy</t>
  </si>
  <si>
    <t>2607062</t>
  </si>
  <si>
    <t>Waśniów</t>
  </si>
  <si>
    <t>2611053</t>
  </si>
  <si>
    <t>Wąchock</t>
  </si>
  <si>
    <t>2609082</t>
  </si>
  <si>
    <t>Wilczyce</t>
  </si>
  <si>
    <t>2601083</t>
  </si>
  <si>
    <t>Wiślica</t>
  </si>
  <si>
    <t>2613063</t>
  </si>
  <si>
    <t>Włoszczowa</t>
  </si>
  <si>
    <t>2602092</t>
  </si>
  <si>
    <t>Wodzisław</t>
  </si>
  <si>
    <t>2606082</t>
  </si>
  <si>
    <t>Wojciechowice</t>
  </si>
  <si>
    <t>2604192</t>
  </si>
  <si>
    <t>Zagnańsk</t>
  </si>
  <si>
    <t>2609093</t>
  </si>
  <si>
    <t>Zawichost</t>
  </si>
  <si>
    <t>2608052</t>
  </si>
  <si>
    <t>Złota</t>
  </si>
  <si>
    <t>2661011</t>
  </si>
  <si>
    <t>Kielce</t>
  </si>
  <si>
    <t>kod powiatu</t>
  </si>
  <si>
    <t>nazwa powiatu</t>
  </si>
  <si>
    <t>ogółem</t>
  </si>
  <si>
    <t>2020</t>
  </si>
  <si>
    <t>2021</t>
  </si>
  <si>
    <t>2022</t>
  </si>
  <si>
    <t>2023</t>
  </si>
  <si>
    <t>2024</t>
  </si>
  <si>
    <t>2025</t>
  </si>
  <si>
    <t>2026</t>
  </si>
  <si>
    <t>wypełniają gminy</t>
  </si>
  <si>
    <t>*pole wymagane</t>
  </si>
  <si>
    <t>proszę wypełniać TYLKO pola zaznaczone na żółto</t>
  </si>
  <si>
    <t>pomoc</t>
  </si>
  <si>
    <t>kod gminy2</t>
  </si>
  <si>
    <t>kod powiatu2</t>
  </si>
  <si>
    <t>zadanie ZSO - wymagana powierzchnia, na której należy zmieić sposób ogrzewania [m2]</t>
  </si>
  <si>
    <t>KPP</t>
  </si>
  <si>
    <t>zadanie EE - wymagana liczba działań edukacyjnych w roku</t>
  </si>
  <si>
    <t>zadanie KPP - wymagana liczba kontroli w roku</t>
  </si>
  <si>
    <t>nazwa zadania</t>
  </si>
  <si>
    <t>Tabela 2. Sprawozdanie w zakresie działań edukacyjnych ujętych w harmonogramie realizacji POP</t>
  </si>
  <si>
    <t>wymagana liczba kampanii w roku</t>
  </si>
  <si>
    <t>liczba przeprowadzonych kampanii [szt.]</t>
  </si>
  <si>
    <t>liczba placówek oświatowych objętych edukacją ekologiczną [szt.]</t>
  </si>
  <si>
    <t>liczba przeprowadzonych akcji szkolnych [szt.]</t>
  </si>
  <si>
    <t>liczba przeprowadzonych konferencji [szt.]</t>
  </si>
  <si>
    <t>liczba osób objętych działaniami informacyjnymi i edukacyjnymi [szt.]</t>
  </si>
  <si>
    <t>podać liczbę liczbę placówek objętych działaniem opisanym w kolumnie 5</t>
  </si>
  <si>
    <t>podać liczbę przeprowadzonych akcji szkolnych opisanych w kolumnie 5</t>
  </si>
  <si>
    <t>podać liczbę przeprowadzonych konferencji opisanych w kolumnie 5</t>
  </si>
  <si>
    <t>podać szacunkową liczbę osob objetych działaniem opisanym w kolumnie 5</t>
  </si>
  <si>
    <t>SUMA</t>
  </si>
  <si>
    <r>
      <t>wskaźniki monitorowania postępu (wypełnić minimum jedno pole</t>
    </r>
    <r>
      <rPr>
        <b/>
        <sz val="9"/>
        <color rgb="FFFF0000"/>
        <rFont val="Calibri"/>
        <family val="2"/>
        <charset val="238"/>
      </rPr>
      <t>*</t>
    </r>
    <r>
      <rPr>
        <b/>
        <sz val="9"/>
        <color rgb="FF000000"/>
        <rFont val="Calibri"/>
        <family val="2"/>
        <charset val="238"/>
      </rPr>
      <t>)</t>
    </r>
  </si>
  <si>
    <t>Tabela 3. Sprawozdanie w zakresie podejmowanych działań kontrolnych w ramach realizacji POP i PDK</t>
  </si>
  <si>
    <t>wymagana liczba kontroli w roku</t>
  </si>
  <si>
    <t>suma przeprowadzonych kontroli</t>
  </si>
  <si>
    <t>liczba przeprowadzonych kontroli w zakresie przestrzegania zakazu spalania odpadów w urządzeniach nieprzeznaczonych do tego wraz z podaniem liczby popełnionych wykroczeń, udzielonych pouczeń, wystawionych mandatów, spraw skierowanych do sądu [szt.]</t>
  </si>
  <si>
    <t>liczba przeprowadzonych kontroli w zakresie przestrzegania wymagań określonych w uchwale, o której mowa w art. 96 ustawy z dnia 27 kwietnia 2001 r. – Prawo ochrony środowiska, wraz z podaniem liczby popełnionych wykroczeń, udzielonych pouczeń, wystawionych mandatów oraz spraw skierowanych do sądu [szt.]</t>
  </si>
  <si>
    <t>w_WK_eco</t>
  </si>
  <si>
    <t>zmiana starego kotła na nowy kocioł węglowy ekoprojekt</t>
  </si>
  <si>
    <t>w_WK_eco_b</t>
  </si>
  <si>
    <t>zmiana starego kotła na nowy kocioł na biomasę ekoprojekt</t>
  </si>
  <si>
    <t>termo+WK_eco</t>
  </si>
  <si>
    <t>termomodernizacja i zmiana kotła - węglowy ekoprojekt</t>
  </si>
  <si>
    <t>termo+WK_eco_b</t>
  </si>
  <si>
    <t>termomodernizacja i zmiana kotła - na biomasę ekoprojekt</t>
  </si>
  <si>
    <t>termomodernizacja i zmiana paliwa na gazowe</t>
  </si>
  <si>
    <t>termomodernizacja i zmiana paliwa na olejowe</t>
  </si>
  <si>
    <r>
      <t>[g PM10/(m</t>
    </r>
    <r>
      <rPr>
        <b/>
        <vertAlign val="superscript"/>
        <sz val="9"/>
        <color theme="1"/>
        <rFont val="Calibri"/>
        <family val="2"/>
        <charset val="238"/>
      </rPr>
      <t>2</t>
    </r>
    <r>
      <rPr>
        <b/>
        <sz val="9"/>
        <color theme="1"/>
        <rFont val="Calibri"/>
        <family val="2"/>
        <charset val="238"/>
      </rPr>
      <t>×rok)]</t>
    </r>
  </si>
  <si>
    <r>
      <t>[g PM2,5/(m</t>
    </r>
    <r>
      <rPr>
        <b/>
        <vertAlign val="superscript"/>
        <sz val="9"/>
        <color theme="1"/>
        <rFont val="Calibri"/>
        <family val="2"/>
        <charset val="238"/>
      </rPr>
      <t>2</t>
    </r>
    <r>
      <rPr>
        <b/>
        <sz val="9"/>
        <color theme="1"/>
        <rFont val="Calibri"/>
        <family val="2"/>
        <charset val="238"/>
      </rPr>
      <t>×rok)]</t>
    </r>
  </si>
  <si>
    <t>wykryte wykroczenia</t>
  </si>
  <si>
    <t>pouczenia</t>
  </si>
  <si>
    <t>mandaty</t>
  </si>
  <si>
    <t>sprawy skierowane do sądu</t>
  </si>
  <si>
    <t>podać liczbę wszystkich przeprowadzonych kontroli instalacji</t>
  </si>
  <si>
    <t>w tym liczba wykrytych w czasie kontroli wykroczeń</t>
  </si>
  <si>
    <t>w tym liczba udzielonych w czasie kontroli pouczeń</t>
  </si>
  <si>
    <t>w tym liczba wystawionych w czasie kontroli mandatów</t>
  </si>
  <si>
    <t>w tym liczba spraw skierowanych do sądu</t>
  </si>
  <si>
    <t>rodzaj konroli</t>
  </si>
  <si>
    <t>(rrrr-mm-dd)</t>
  </si>
  <si>
    <t>rok sprawozdawczy</t>
  </si>
  <si>
    <t>wskaźniki monitorowanie zadania ZSO</t>
  </si>
  <si>
    <t>wskaźniki efektu</t>
  </si>
  <si>
    <t>liczba i powierzchnia budynków, w tym jednorodzinnych i wielorodzinnych, w których zlikwidowano nieefektywne indywidulne źródło ciepła na paliwa stałe i podłączono do sieci ciepłowniczej</t>
  </si>
  <si>
    <t>liczba i powierzchnia budynków, w tym jednorodzinnych i wielorodzinnych, w których nieefektywne indywidulne źródło ciepła na paliwa stałe zastąpiono ogrzewaniem gazowym</t>
  </si>
  <si>
    <t>liczba i powierzchnia budynków, w tym jednorodzinnych i wielorodzinnych, w których nieefektywne indywidulne źródło ciepła na paliwa stałe zastąpiono odnawialnym źródłem energii</t>
  </si>
  <si>
    <t>liczba i powierzchnia budynków, w tym jednorodzinnych i wielorodzinnych, w których nieefektywne indywidulne źródło ciepła na paliwa stałe zastąpiono kotłem węglowym spełniającym wymagania ekoprojektu</t>
  </si>
  <si>
    <t>liczba i powierzchnia budynków, w tym jednorodzinnych i wielorodzinnych, w których nieefektywne indywidulne źródło ciepła na paliwa stałe zastąpiono kotłem na biomasę spełniającym wymagania ekoprojektu</t>
  </si>
  <si>
    <t>liczba i powierzchnia budynków, w tym jednorodzinnych i wielorodzinnych, w których nieefektywne indywidulne źródło ciepła na paliwa stałe zastąpiono ogrzewaniem elektrycznym</t>
  </si>
  <si>
    <t>liczba i powierzchnia budynków, w tym jednorodzinnych i wielorodzinnych, w których nieefektywne indywidulne źródło ciepła na paliwa stałe zastąpiono ogrzewaniem olejowym</t>
  </si>
  <si>
    <t>liczba i powierzchnia budynków, w tym jednorodzinnych i wielorodzinnych, w których zlikwidowano nieefektywne indywidulne źródło ciepła na paliwa stałe i podłączono do sieci ciepłowniczej oraz przeprowadzono termomodernizację</t>
  </si>
  <si>
    <t>liczba i powierzchnia budynków, w tym jednorodzinnych i wielorodzinnych, w których nieefektywne indywidulne źródło ciepła na paliwa stałe zastąpiono ogrzewaniem gazowym oraz przeprowadzono termomodernizację</t>
  </si>
  <si>
    <t>liczba i powierzchnia budynków, w tym jednorodzinnych i wielorodzinnych, w których nieefektywne indywidulne źródło ciepła na paliwa stałe zastąpiono odnawialnym źródłem energii oraz przeprowadzono termomodernizację</t>
  </si>
  <si>
    <t>liczba i powierzchnia budynków, w tym jednorodzinnych i wielorodzinnych, w których nieefektywne indywidulne źródło ciepła na paliwa stałe zastąpiono kotłem węglowym spełniającym wymagania ekoprojektu oraz przeprowadzono termomodernizację</t>
  </si>
  <si>
    <t>liczba i powierzchnia budynków, w tym jednorodzinnych i wielorodzinnych, w których nieefektywne indywidulne źródło ciepła na paliwa stałe zastąpiono kotłem na biomasę spełniającym wymagania ekoprojektu oraz przeprowadzono termomodernizację</t>
  </si>
  <si>
    <t>liczba i powierzchnia budynków, w tym jednorodzinnych i wielorodzinnych, w których nieefektywne indywidulne źródło ciepła na paliwa stałe zastąpiono ogrzewaniem elektrycznym oraz przeprowadzono termomodernizację</t>
  </si>
  <si>
    <t>liczba i powierzchnia budynków, w tym jednorodzinnych i wielorodzinnych, w których nieefektywne indywidulne źródło ciepła na paliwa stałe zastąpiono ogrzewaniem olejowym oraz przeprowadzono termomodernizację</t>
  </si>
  <si>
    <t>wskaźniki do tab.1_ZSO</t>
  </si>
  <si>
    <t>liczba i powierzchnia budynków, w tym jednorodzinnych i wielorodzinnych, w których nieefektywne indywidulne źródło ciepła na paliwa stałe</t>
  </si>
  <si>
    <t>zlikwidowano i podłączono do sieci ciepłowniczej</t>
  </si>
  <si>
    <t>zastąpiono ogrzewaniem gazowym</t>
  </si>
  <si>
    <t>zastąpiono odnawialnym źródłem energii</t>
  </si>
  <si>
    <t>zastąpiono kotłem węglowym spełniającym wymagania ekoprojektu</t>
  </si>
  <si>
    <t>zastąpiono kotłem na biomasę spełniającym wymagania ekoprojektu</t>
  </si>
  <si>
    <t>zastąpiono ogrzewaniem elektrycznym</t>
  </si>
  <si>
    <t>zastąpiono ogrzewaniem olejowym</t>
  </si>
  <si>
    <t>zlikwidowano i podłączono do sieci ciepłowniczej oraz przeprowadzono termomodernizację</t>
  </si>
  <si>
    <t>zastąpiono ogrzewaniem gazowym oraz przeprowadzono termomodernizację</t>
  </si>
  <si>
    <t>zastąpiono odnawialnym źródłem energii oraz przeprowadzono termomodernizację</t>
  </si>
  <si>
    <t>zastąpiono kotłem węglowym spełniającym wymagania ekoprojektu oraz przeprowadzono termomodernizację</t>
  </si>
  <si>
    <t>zastąpiono kotłem na biomasę spełniającym wymagania ekoprojektu oraz przeprowadzono termomodernizację</t>
  </si>
  <si>
    <t>zastąpiono ogrzewaniem elektrycznym oraz przeprowadzono termomodernizację</t>
  </si>
  <si>
    <t>zastąpiono ogrzewaniem olejowym oraz przeprowadzono termomodernizację</t>
  </si>
  <si>
    <t>podać miejscowość lub osiedle w gminach miejskich, gdzie zostało przeprowadzone działanie naprawcze</t>
  </si>
  <si>
    <t>wskaźnik konitorowania postępu</t>
  </si>
  <si>
    <t>liczba kotłów [szt.]</t>
  </si>
  <si>
    <t>proszę wybrać wskaźnik z listy rozwijanej</t>
  </si>
  <si>
    <t>zestaw wsk_efektu</t>
  </si>
  <si>
    <r>
      <t>koszty łącznie [zł]</t>
    </r>
    <r>
      <rPr>
        <b/>
        <sz val="9"/>
        <color rgb="FFFF0000"/>
        <rFont val="Calibri"/>
        <family val="2"/>
        <charset val="238"/>
      </rPr>
      <t>*</t>
    </r>
  </si>
  <si>
    <t>kod_efektu</t>
  </si>
  <si>
    <t>BaP</t>
  </si>
  <si>
    <r>
      <t>[g B(a)P/(m</t>
    </r>
    <r>
      <rPr>
        <b/>
        <vertAlign val="superscript"/>
        <sz val="9"/>
        <color theme="1"/>
        <rFont val="Calibri"/>
        <family val="2"/>
        <charset val="238"/>
      </rPr>
      <t>2</t>
    </r>
    <r>
      <rPr>
        <b/>
        <sz val="9"/>
        <color theme="1"/>
        <rFont val="Calibri"/>
        <family val="2"/>
        <charset val="238"/>
      </rPr>
      <t>×rok)]</t>
    </r>
  </si>
  <si>
    <t>opis</t>
  </si>
  <si>
    <t>Tabela 1. Sprawozdanie w zakresie działań ograniczających emisję z instalacji o małej mocy do 1 MW ujętych w harmonogramie realizacji POP</t>
  </si>
  <si>
    <t>1. Ogólne</t>
  </si>
  <si>
    <t>2. Link do strony internetowej, na której został zamieszczony plan działań krótkoterminowych</t>
  </si>
  <si>
    <t>Pole tekstowe</t>
  </si>
  <si>
    <t>Jeśli tak, proszę podać szczegóły</t>
  </si>
  <si>
    <t>Tekst – maksymalnie 600 znaków</t>
  </si>
  <si>
    <t>3. Proszę opisać wszystkie aspekty wdrażania planu oraz dodać swoje uwagi i doświadczenia</t>
  </si>
  <si>
    <t>5. Plany działań krótkoterminowych: udostępnienie informacji do publicznej wiadomości:</t>
  </si>
  <si>
    <t>5.2. Link do strony internetowej, na której została zamieszczona informacja</t>
  </si>
  <si>
    <t>Tekst - maksymalnie 600 znaków</t>
  </si>
  <si>
    <t>6. Plany działań krótkoterminowych: wpływ</t>
  </si>
  <si>
    <t>6.1. Proszę podać informację na temat wpływu i skuteczności podjętych działań przez sektory</t>
  </si>
  <si>
    <t>6.2. Jakie działania zostały uznane za najbardziej skuteczne? Proszę opisać te działania i wyjaśnić dlaczego</t>
  </si>
  <si>
    <t>7. Pozostałe problemy</t>
  </si>
  <si>
    <t>8. Uwagi</t>
  </si>
  <si>
    <t>Tekst</t>
  </si>
  <si>
    <t>opis pól</t>
  </si>
  <si>
    <t>Tekst – maksymalnie 600 znaków, jeżeli w punkcie 4 zaznaczono „Tak”.</t>
  </si>
  <si>
    <t>Tab. 5. Sprawozdanie z realizacji planu działań krótkoterminowych</t>
  </si>
  <si>
    <t>Należy zaznaczyć prawidłową odpowiedź.</t>
  </si>
  <si>
    <t>proszę podać łączną liczbę zlikwidowanych lub zmienionych kotłów wskazanych w kolumnie 8</t>
  </si>
  <si>
    <t>proszę podać łączną powierzchnię lokali, budynków, na której przeprowadzono zmiany wskazane w kolumnie 8</t>
  </si>
  <si>
    <t>p1</t>
  </si>
  <si>
    <t>p2</t>
  </si>
  <si>
    <t>p3</t>
  </si>
  <si>
    <r>
      <t>wymagana powierzchnia w roku sprawozdawczym w gminie [m</t>
    </r>
    <r>
      <rPr>
        <b/>
        <vertAlign val="superscript"/>
        <sz val="11"/>
        <color rgb="FFC00000"/>
        <rFont val="Calibri"/>
        <family val="2"/>
        <charset val="238"/>
      </rPr>
      <t>2</t>
    </r>
    <r>
      <rPr>
        <b/>
        <sz val="11"/>
        <color rgb="FFC00000"/>
        <rFont val="Calibri"/>
        <family val="2"/>
        <charset val="238"/>
      </rPr>
      <t>]</t>
    </r>
  </si>
  <si>
    <r>
      <t>efekt rzeczowy [m</t>
    </r>
    <r>
      <rPr>
        <b/>
        <vertAlign val="superscript"/>
        <sz val="11"/>
        <color rgb="FFC00000"/>
        <rFont val="Calibri"/>
        <family val="2"/>
        <charset val="238"/>
      </rPr>
      <t>2</t>
    </r>
    <r>
      <rPr>
        <b/>
        <sz val="11"/>
        <color rgb="FFC00000"/>
        <rFont val="Calibri"/>
        <family val="2"/>
        <charset val="238"/>
      </rPr>
      <t>]</t>
    </r>
  </si>
  <si>
    <t>nie dotyczy</t>
  </si>
  <si>
    <t>tab.1_ZSO_gminy</t>
  </si>
  <si>
    <t>tab.1_ZSO_powiaty</t>
  </si>
  <si>
    <t>tab.2_EE_gminy</t>
  </si>
  <si>
    <t>tab.3_KPP</t>
  </si>
  <si>
    <t>Opis - wypełniają GMINY</t>
  </si>
  <si>
    <t>Opis - wypełniają STAROSTWA POWIATOWE</t>
  </si>
  <si>
    <t>tab.5_PDK</t>
  </si>
  <si>
    <t>tab.2_EE_org</t>
  </si>
  <si>
    <t>tab.4_BDO</t>
  </si>
  <si>
    <t>informacje szczegółowe o realizacji zadań edukacyjnych (EE) przez organizacje</t>
  </si>
  <si>
    <t>Arkusz wypełniają:</t>
  </si>
  <si>
    <t>gminy i powiaty</t>
  </si>
  <si>
    <t>tabela_informacyjna_dla_JST</t>
  </si>
  <si>
    <t>1) jednostki samorządu terytorialnego</t>
  </si>
  <si>
    <t>informacje szczegółowe o realizacji zadań budowy dróg (BDO) przez zarządców dróg</t>
  </si>
  <si>
    <t>tabela_informacyjna_dla_innych</t>
  </si>
  <si>
    <r>
      <rPr>
        <b/>
        <sz val="11"/>
        <color rgb="FFFF0000"/>
        <rFont val="Calibri"/>
        <family val="2"/>
        <charset val="238"/>
      </rPr>
      <t>*</t>
    </r>
    <r>
      <rPr>
        <b/>
        <sz val="11"/>
        <rFont val="Calibri"/>
        <family val="2"/>
        <charset val="238"/>
      </rPr>
      <t xml:space="preserve"> pole wymagane</t>
    </r>
  </si>
  <si>
    <t>tab.1_ZSO_zarządcy</t>
  </si>
  <si>
    <t>wypełniają powiaty</t>
  </si>
  <si>
    <r>
      <t>powierzchnia [m</t>
    </r>
    <r>
      <rPr>
        <b/>
        <vertAlign val="superscript"/>
        <sz val="9"/>
        <color rgb="FF000000"/>
        <rFont val="Calibri"/>
        <family val="2"/>
        <charset val="238"/>
      </rPr>
      <t>2</t>
    </r>
    <r>
      <rPr>
        <b/>
        <sz val="9"/>
        <color rgb="FF000000"/>
        <rFont val="Calibri"/>
        <family val="2"/>
        <charset val="238"/>
      </rPr>
      <t>]</t>
    </r>
    <r>
      <rPr>
        <b/>
        <sz val="9"/>
        <color rgb="FFFF0000"/>
        <rFont val="Calibri"/>
        <family val="2"/>
        <charset val="238"/>
      </rPr>
      <t>*</t>
    </r>
  </si>
  <si>
    <r>
      <t>wymagany efekt rzeczowy w gminie powierzchnia ogółem [m</t>
    </r>
    <r>
      <rPr>
        <b/>
        <vertAlign val="superscript"/>
        <sz val="11"/>
        <color rgb="FFC00000"/>
        <rFont val="Calibri"/>
        <family val="2"/>
        <charset val="238"/>
      </rPr>
      <t>2</t>
    </r>
    <r>
      <rPr>
        <b/>
        <sz val="11"/>
        <color rgb="FFC00000"/>
        <rFont val="Calibri"/>
        <family val="2"/>
        <charset val="238"/>
      </rPr>
      <t>]</t>
    </r>
  </si>
  <si>
    <r>
      <t>wskaźniki monitorowania postępu (wypełnić minimum jeden obszar: zielony lub pomarańczowy</t>
    </r>
    <r>
      <rPr>
        <b/>
        <sz val="9"/>
        <color rgb="FFFF0000"/>
        <rFont val="Calibri"/>
        <family val="2"/>
        <charset val="238"/>
      </rPr>
      <t>*</t>
    </r>
    <r>
      <rPr>
        <b/>
        <sz val="9"/>
        <color rgb="FF000000"/>
        <rFont val="Calibri"/>
        <family val="2"/>
        <charset val="238"/>
      </rPr>
      <t>)</t>
    </r>
  </si>
  <si>
    <t>Prowadzenie działań promocyjnych i edukacyjnych (ulotki, imprezy, akcje szkolne, audycje, konferencje) oraz informacyjnych i szkoleniowych</t>
  </si>
  <si>
    <t>3) organizacje</t>
  </si>
  <si>
    <t>4) zarządcy dróg</t>
  </si>
  <si>
    <t>2) zarządzający nieruchomościamu, budynkami lub lokalami</t>
  </si>
  <si>
    <t>infrmacje ogólne - część wypełniana przez organizacje</t>
  </si>
  <si>
    <t>infrmacje ogólne - część wypełniana przez zarządców dróg</t>
  </si>
  <si>
    <t>infrmacje ogólne - część wypełniana przez zarządzających nieruchomościami, budynkami lub lokalami</t>
  </si>
  <si>
    <r>
      <t xml:space="preserve">informacje szczegółowe o realizacji zadań ZSO </t>
    </r>
    <r>
      <rPr>
        <b/>
        <sz val="11"/>
        <rFont val="Calibri"/>
        <family val="2"/>
        <charset val="238"/>
      </rPr>
      <t>przez powiaty</t>
    </r>
  </si>
  <si>
    <r>
      <t xml:space="preserve">informacje szczegółowe o realizacji zadań ZSO </t>
    </r>
    <r>
      <rPr>
        <b/>
        <sz val="11"/>
        <rFont val="Calibri"/>
        <family val="2"/>
        <charset val="238"/>
      </rPr>
      <t>przez zarządzających</t>
    </r>
  </si>
  <si>
    <t>Należy zaznaczyć JEDNĄ prawidłową odpowiedź.</t>
  </si>
  <si>
    <t>2.1. Czy były stwierdzone przekroczenia poziomów alarmowych (zwanych dalej „PA”) lub istotne przekroczenia (ponad 200%) poziomów dopuszczalnych (zwanych dalej „PD”) lub docelowych (zwanych dalej „PDC”) w danym roku sprawozdawczym - w przypadku sprawozdania okresowego oraz w ciągu ostatnich trzech lat - w przypadku sprawozdania końcowego?</t>
  </si>
  <si>
    <t>Tekst – maksymalnie 400 znaków</t>
  </si>
  <si>
    <t>4. Czy uruchomiono działania określone planem działań krótkoterminowych?</t>
  </si>
  <si>
    <t>4.1. Jeżeli tak, to jak często i w jakich sytuacjach? Proszę opisać</t>
  </si>
  <si>
    <t>5.1. Czy informacje o uruchomieniu działań określonych planem były podawane do publicznej wiadomości?</t>
  </si>
  <si>
    <t>5.3. Proszę opisać ogólną strategię udostępniania informacji, w tym podstawowym grupom zainteresowanych stron</t>
  </si>
  <si>
    <t>6.3. Proszę podać linki do raportów lub odniesienia do innych dokumentów wykorzystane do przygotowania sprawozdania z planu działań krótkoterminowych (np. linki do stron internetowych, na których zamieszczane były komunikaty)</t>
  </si>
  <si>
    <t>Powiaty</t>
  </si>
  <si>
    <t>* pole wymagane</t>
  </si>
  <si>
    <r>
      <t xml:space="preserve">Wypełniony arkusz sprawozdawczy należy przesłać w formie edytowalnej </t>
    </r>
    <r>
      <rPr>
        <b/>
        <sz val="12"/>
        <color rgb="FFC00000"/>
        <rFont val="Calibri"/>
        <family val="2"/>
        <charset val="238"/>
      </rPr>
      <t>do 15 lutego każdego roku:</t>
    </r>
  </si>
  <si>
    <t>25-516 Kielce, aleja IX Wieków Kielc 3</t>
  </si>
  <si>
    <t>liczba kontroli</t>
  </si>
  <si>
    <r>
      <t>Rok sprawozdawczy</t>
    </r>
    <r>
      <rPr>
        <sz val="9"/>
        <color rgb="FFFF0000"/>
        <rFont val="Calibri"/>
        <family val="2"/>
        <charset val="238"/>
      </rPr>
      <t>*</t>
    </r>
  </si>
  <si>
    <r>
      <t>Imię i nazwisko osoby do kontaktu</t>
    </r>
    <r>
      <rPr>
        <sz val="9"/>
        <color rgb="FFFF0000"/>
        <rFont val="Calibri"/>
        <family val="2"/>
        <charset val="238"/>
      </rPr>
      <t>*</t>
    </r>
  </si>
  <si>
    <r>
      <t>Numer służbowego telefonu osoby do kontaktu</t>
    </r>
    <r>
      <rPr>
        <sz val="9"/>
        <color rgb="FFFF0000"/>
        <rFont val="Calibri"/>
        <family val="2"/>
        <charset val="238"/>
      </rPr>
      <t>*</t>
    </r>
  </si>
  <si>
    <r>
      <t>Służbowy adres e-mail osoby do kontaktu</t>
    </r>
    <r>
      <rPr>
        <sz val="9"/>
        <color rgb="FFFF0000"/>
        <rFont val="Calibri"/>
        <family val="2"/>
        <charset val="238"/>
      </rPr>
      <t>*</t>
    </r>
  </si>
  <si>
    <r>
      <t xml:space="preserve">1. jednostki samorządu terytorialnego - </t>
    </r>
    <r>
      <rPr>
        <b/>
        <u/>
        <sz val="12"/>
        <color rgb="FFFF0000"/>
        <rFont val="Calibri"/>
        <family val="2"/>
        <charset val="238"/>
      </rPr>
      <t xml:space="preserve">wyłącznie w edytowalnej formie, elektronicznie </t>
    </r>
    <r>
      <rPr>
        <b/>
        <sz val="12"/>
        <rFont val="Calibri"/>
        <family val="2"/>
        <charset val="238"/>
      </rPr>
      <t>na adres ePUAP Urzędu Marszałkowskiego Województwa Świętokrzyskiego</t>
    </r>
  </si>
  <si>
    <r>
      <t xml:space="preserve">2. pozostałe podmioty - </t>
    </r>
    <r>
      <rPr>
        <b/>
        <u/>
        <sz val="12"/>
        <color rgb="FFFF0000"/>
        <rFont val="Calibri"/>
        <family val="2"/>
        <charset val="238"/>
      </rPr>
      <t>wyłącznie w edytowalnej formie</t>
    </r>
    <r>
      <rPr>
        <b/>
        <sz val="12"/>
        <rFont val="Calibri"/>
        <family val="2"/>
        <charset val="238"/>
      </rPr>
      <t xml:space="preserve"> na adres mailowy anna.hynek@sejmik.kielce.pl</t>
    </r>
  </si>
  <si>
    <t>zgodnie z uchwałą Nr LXIV/798/23 Sejmiku Województwa Świętokrzyskiego z dnia 25 września 2023 roku</t>
  </si>
  <si>
    <r>
      <t xml:space="preserve">liczba dni w roku z informacją o wystąpieniu na terenie gminy/powiatu </t>
    </r>
    <r>
      <rPr>
        <sz val="9"/>
        <color rgb="FFFF9900"/>
        <rFont val="Calibri"/>
        <family val="2"/>
        <charset val="238"/>
      </rPr>
      <t>ALARMU I STOPNIA</t>
    </r>
    <r>
      <rPr>
        <sz val="9"/>
        <rFont val="Calibri"/>
        <family val="2"/>
        <charset val="238"/>
      </rPr>
      <t xml:space="preserve"> PDK</t>
    </r>
    <r>
      <rPr>
        <sz val="9"/>
        <color rgb="FFFF0000"/>
        <rFont val="Calibri"/>
        <family val="2"/>
        <charset val="238"/>
      </rPr>
      <t>*</t>
    </r>
  </si>
  <si>
    <r>
      <t xml:space="preserve">liczba dni w roku z informacją o wystąpieniu na terenie gminy/powiatu </t>
    </r>
    <r>
      <rPr>
        <sz val="9"/>
        <color rgb="FFFF0000"/>
        <rFont val="Calibri"/>
        <family val="2"/>
        <charset val="238"/>
      </rPr>
      <t>ALARMU II STOPNIA</t>
    </r>
    <r>
      <rPr>
        <sz val="9"/>
        <rFont val="Calibri"/>
        <family val="2"/>
        <charset val="238"/>
      </rPr>
      <t xml:space="preserve"> PDK</t>
    </r>
    <r>
      <rPr>
        <sz val="9"/>
        <color rgb="FFFF0000"/>
        <rFont val="Calibri"/>
        <family val="2"/>
        <charset val="238"/>
      </rPr>
      <t>*</t>
    </r>
  </si>
  <si>
    <r>
      <t>nazwa wskaźnika</t>
    </r>
    <r>
      <rPr>
        <b/>
        <sz val="9"/>
        <color rgb="FFFF0000"/>
        <rFont val="Calibri"/>
        <family val="2"/>
        <charset val="238"/>
      </rPr>
      <t>*</t>
    </r>
  </si>
  <si>
    <t>osiągnięty efekt redukcji emisji [kg/rok]</t>
  </si>
  <si>
    <t>wskazać źródła finansowania działania, wskazując wysokość dofinansowania dla poszczególnych źródeł</t>
  </si>
  <si>
    <r>
      <t>w tym wysokość uzyskanego dofinansowania zewnętrznego [zł/rok]</t>
    </r>
    <r>
      <rPr>
        <b/>
        <sz val="9"/>
        <color rgb="FFFF0000"/>
        <rFont val="Calibri"/>
        <family val="2"/>
        <charset val="238"/>
      </rPr>
      <t>*</t>
    </r>
  </si>
  <si>
    <r>
      <t>sposób finansowania</t>
    </r>
    <r>
      <rPr>
        <b/>
        <sz val="9"/>
        <color rgb="FFFF0000"/>
        <rFont val="Calibri"/>
        <family val="2"/>
        <charset val="238"/>
      </rPr>
      <t>*</t>
    </r>
  </si>
  <si>
    <t>proszę wybrać z listy:
kontrole rutynowe,
kontrole w trakcie PDK (Alarm I lub II stopnia)</t>
  </si>
  <si>
    <t>proszę podać datę obowiązywania Alarmu I lub Alarmu II stopnia</t>
  </si>
  <si>
    <t>data obowiązywania Alarmu I lub Alarmu II stopnia</t>
  </si>
  <si>
    <r>
      <t>w tym wysokość uzyskanego dofinansowania zewnętrznego [zł]</t>
    </r>
    <r>
      <rPr>
        <b/>
        <sz val="9"/>
        <color rgb="FFFF0000"/>
        <rFont val="Calibri"/>
        <family val="2"/>
        <charset val="238"/>
      </rPr>
      <t>*</t>
    </r>
  </si>
  <si>
    <r>
      <t>Gmina</t>
    </r>
    <r>
      <rPr>
        <sz val="9"/>
        <color rgb="FFFF0000"/>
        <rFont val="Calibri"/>
        <family val="2"/>
        <charset val="238"/>
      </rPr>
      <t>*</t>
    </r>
  </si>
  <si>
    <r>
      <t xml:space="preserve">opis realizacji zadania w roku sprawozdawczym
</t>
    </r>
    <r>
      <rPr>
        <b/>
        <sz val="9"/>
        <color rgb="FFFF0000"/>
        <rFont val="Calibri"/>
        <family val="2"/>
        <charset val="238"/>
      </rPr>
      <t>(dotyczy tylko zadań mających na celu ochronę powietrza)</t>
    </r>
  </si>
  <si>
    <t>Nazwa Urzędu Marszałkowskiego przyjmującego sprawozdanie</t>
  </si>
  <si>
    <t>Gmina</t>
  </si>
  <si>
    <t>Rok sprawozdawczy</t>
  </si>
  <si>
    <t>Informacje ogólne na temat sprawozdania z Programu ochrony powietrza</t>
  </si>
  <si>
    <t>Informacje ogólne na temat sprawozdania z PDK (Plan działań krótkoterminowych)</t>
  </si>
  <si>
    <r>
      <t>Powiat</t>
    </r>
    <r>
      <rPr>
        <sz val="9"/>
        <color rgb="FFFF0000"/>
        <rFont val="Calibri"/>
        <family val="2"/>
        <charset val="238"/>
      </rPr>
      <t>*</t>
    </r>
  </si>
  <si>
    <t>Sitkówka</t>
  </si>
  <si>
    <t>Słupia Konecka</t>
  </si>
  <si>
    <t>Nowiny</t>
  </si>
  <si>
    <t>Sprawozdanie okresowe z realizacji programu ochrony powietrza oraz jego aktualizacji</t>
  </si>
  <si>
    <t>I. Informacja ogólna na temat sprawozdania okresowego z realizacji programu ochrony powietrza</t>
  </si>
  <si>
    <t xml:space="preserve"> Zawartość</t>
  </si>
  <si>
    <t>Rok referencyjny</t>
  </si>
  <si>
    <t>Adres strony internetowej, pod którym znajduje się sprawozdanie okresowe z realizacji programu ochrony powietrza</t>
  </si>
  <si>
    <t>II. Zestawienie informacji na temat realizacji działań naprawczych</t>
  </si>
  <si>
    <t>Tytuł</t>
  </si>
  <si>
    <t>Opis</t>
  </si>
  <si>
    <t>Obszar</t>
  </si>
  <si>
    <t>Termin zastosowania</t>
  </si>
  <si>
    <t>Stan zaawansowania realizacji działania naprawczego w odniesieniu do wartości zaplanowanej do wykonania w danym roku sprawozdawczym</t>
  </si>
  <si>
    <t>Skala czasowa osiągnięcia redukcji stężenia</t>
  </si>
  <si>
    <t>Kategoria źródeł emisji, której dotyczy działanie naprawcze</t>
  </si>
  <si>
    <t>Efekt rzeczowy działania naprawczego obliczony (oszacowany) na podstawie wskaźnika(ów) monitorowania postępu realizacji działania naprawczego w ciągu roku realizacji programu ochrony powietrza</t>
  </si>
  <si>
    <t xml:space="preserve">Wysokość poniesionych kosztów (w PLN) </t>
  </si>
  <si>
    <t>Wysokość poniesionych kosztów (w EUR)</t>
  </si>
  <si>
    <t>Kod strefy</t>
  </si>
  <si>
    <t>PL26PM10dPM2.5aBaPa_2018</t>
  </si>
  <si>
    <t>Kod działania naprawczego</t>
  </si>
  <si>
    <t>Kod sytuacji przekroczenia</t>
  </si>
  <si>
    <t>Odpowiedź (działanie naprawcze nr 1)</t>
  </si>
  <si>
    <t xml:space="preserve">Odpowiedź (działanie naprawcze nr 2) </t>
  </si>
  <si>
    <t>Obniżenie emisji z indywidualnych systemów grzewczych opalanych paliwami stałymi:
1. zastąpienie niskosprawnych urządzeń grzewczych podłączeniem do sieci ciepłowniczej lub urządzeniami na gaz;
2. wymiana niskosprawnych kotłów na paliwa stałe na: 
- kotły zasilane olejem opałowym,
- ogrzewanie elektryczne,
- OZE,
- kotły węglowe spełniające wymagania ekoprojektu;
3. stosowanie w nowo powstałych budynkach hierarchii źródeł ogrzewania: 
- OZE, 
- podłączenie do sieci ciepłowniczej lub sieci gazowej, 
- urządzenia opalane olejem, 
- ogrzewanie elektryczne, 
- kotły spełniające wymagania ekoprojektu; 
4. termomodernizacja – kompleksowa termomodernizacja wraz z wymianą urządzeń grzewczych.</t>
  </si>
  <si>
    <t>Działania edukacyjne i informacyjne realizowane poprzez: 
- prowadzenie akcji edukacyjnych uświadamiających mieszkańcom zagrożenia dla zdrowia, jakie niesie ze sobą zanieczyszczenie powietrza,
- prowadzenie akcji edukacyjnych uświadamiających mieszkańcom wpływ spalania paliw niskiej jakości oraz odpadów na jakość powietrza,
- informowanie mieszkańców o zakazach związanych z postępowaniem z odpadami w zakresie ich spalania poza instalacjami.</t>
  </si>
  <si>
    <t>Nazwa i kod strefy</t>
  </si>
  <si>
    <t>1.01.2022 r.</t>
  </si>
  <si>
    <t>Odpowiedź (działanie naprawcze nr 3)</t>
  </si>
  <si>
    <t>Działalność kontrolna powinna obejmować:
- przestrzeganie zakazu spalania odpadów w kotłach i piecach,
- przestrzeganie zakazu spalania odpadów zielonych, a także przestrzegania zakazu wypalania traw i łąk,
- przestrzeganie zapisów uchwały, o której mowa w art. 96 ustawy POŚ.</t>
  </si>
  <si>
    <t>liczba budynków, w których zlikwidowano lub wymieniono nieefektywne indywidualne źródło ciepła na paliwa stałe (szt.)</t>
  </si>
  <si>
    <t>liczba przeprowadzonych kontroli w zakresie przestrzegania wymagań określonych w uchwale, o której mowa w art. 96 ustawy z dnia 27 kwietnia 2001 r. – Prawo ochrony środowiska (szt.)</t>
  </si>
  <si>
    <t>liczba przeprowadzonych kontroli w zakresie przestrzegania zakazu spalania odpadów w urządzeniach nieprzeznaczonych do tego (szt.)</t>
  </si>
  <si>
    <t>długoterminowe</t>
  </si>
  <si>
    <t>krótkoterminowe</t>
  </si>
  <si>
    <t>źródła związane z handlem i mieszkalnictwem</t>
  </si>
  <si>
    <t>pył PM10</t>
  </si>
  <si>
    <t>pył PM2,5</t>
  </si>
  <si>
    <t>b(a)p</t>
  </si>
  <si>
    <t>liczba placówek oświatowych objętych edukacją ekologiczną (szt.)</t>
  </si>
  <si>
    <t>liczba przeprowadzonych kampanii (szt.)</t>
  </si>
  <si>
    <t>liczba przeprowadzonych akcji szkolnych (szt.)</t>
  </si>
  <si>
    <t>liczba osób objętych działaniami informacyjnymi i edukacyjnymi (szt.)</t>
  </si>
  <si>
    <t>liczba przeprowadzonych konferencji (szt.)</t>
  </si>
  <si>
    <r>
      <t>powierzchnia budynków, w których zlikwidowano lub wymieniono nieefektywne indywidulne źródło ciepła na paliwa stałe (m</t>
    </r>
    <r>
      <rPr>
        <sz val="12"/>
        <color theme="1"/>
        <rFont val="Calibri"/>
        <family val="2"/>
        <charset val="238"/>
      </rPr>
      <t>²</t>
    </r>
    <r>
      <rPr>
        <sz val="12"/>
        <color theme="1"/>
        <rFont val="Times New Roman"/>
        <family val="1"/>
        <charset val="238"/>
      </rPr>
      <t>)</t>
    </r>
  </si>
  <si>
    <t>Należy wypełnić pola zaznaczone na żółto</t>
  </si>
  <si>
    <t>2618swkPM10d01, 2618swkPM10d02, 2618swkPM10d03, 2618swkPM10d04, 2618swkPM10d05, 2618swkPM10d06, 2618swkPM10d07, 2618swkPM10d08, 2618swkPM10d09, 2618swkPM10d10, 2618swkPM10d11, 2618swkPM10d12, 2618swkPM10d13, 2618swkPM10d14, 2618swkPM10d15, 2618swkPM10d16, 2618swkPM10d17, 2618swkPM10d18, 2618swkPM10d19, 2618swkPM10d20, 2618swkPM10d21, 2618swkPM10d22; 2618swkPM2.5a01, 2618swkPM2.5a02, 2618swkPM2.5a03, 2618swkPM2.5a04, 2618swkPM2.5a05, 2618swkPM2.5a06, 2618swkPM2.5a07, 2618swkPM2.5a08, 2618swkPM2.5a09, 2618swkPM2.5a10, 2618swkPM2.5a11, 2618swkPM2.5a12, 2618swkPM2.5a13, 2618swkPM2.5a14, 2618swkPM2.5a15, 2618swkPM2.5a16, 2618swkPM2.5a17, 2618swkPM2.5a18, 2618swkPM2.5a19, 2618swkPM2.5a20, 2618swkPM2.5a21, 2618swkPM2.5a22, 2618swkPM2.5a23, 2618swkPM2.5a24, 2618swkPM2.5a25, 2618swkPM2.5a26, 2618swkPM2.5a27, 2618swkPM2.5a28, 2618swkPM2.5a29, 2618swkPM2.5a30, 2618swkPM2.5a31, 2618swkPM2.5a32, 2618swkPM2.5a33, 2618swkPM2.5a34; 
2618swkBaPa01</t>
  </si>
  <si>
    <t>świętokrzyska - PL2602</t>
  </si>
  <si>
    <t>Obszar woj. św. z wył. m. Kielce, w pd. części centr. Polski, obszar 11 601 km². Liczba mieszkańców 1046 tys. Strefa znajduje się w większości na Wyż. Kieleckiej. Pn.-zach. należy do Wyż. Przedborskiej, a pd. w obrębie Niecki Nidziańskiej. Wzdłuż pd. i wysokich terenów rozciąga się Niz. Nadwiślańska, należąca do Kotliny Sandomierskiej. Centralnie Góry Świętokrzyskie z 28 pasmami górskimi. Rozciągają się od zach. na wsch. równolegle do siebie. Większość ma przebieg zbliżony do równoleżnikowego, co ułatwia względnie swobodny przepływ powietrza z zach. i wsch. ale stanowi lokalną barierę dla mas na pn. i pd. Pd.-wsch. cechuje obniżenie terenu, gdyż znajduje się tu Niz. Nadwiślańska z Doliną Wisły.</t>
  </si>
  <si>
    <t>Kod programu ochrony powietrza</t>
  </si>
  <si>
    <t>Nazwa urzędu</t>
  </si>
  <si>
    <t>Adres pocztowy urzędu</t>
  </si>
  <si>
    <t xml:space="preserve">Imię/imiona i nazwisko/nazwiska pracownika/pracowników urzędu odpowiedzialnego/odpowiedzialnych za przygotowanie danych </t>
  </si>
  <si>
    <t xml:space="preserve">Służbowy telefon pracownika/ pracowników urzędu odpowiedzialnego/ odpowiedzialnych za przygotowanie danych  </t>
  </si>
  <si>
    <t xml:space="preserve">Służbowy adres poczty elektronicznej pracownika/ pracowników urzędu odpowiedzialnego/ odpowiedzialnych za przygotowanie danych  </t>
  </si>
  <si>
    <t>1.01.2023 r.</t>
  </si>
  <si>
    <t>Arkusz służy do przygotowania rocznego sprawozdania z realizacji zadań zawartych w "Aktualizacji Programu ochrony powietrza dla województwa świętokrzyskiego wraz z planem działań krótkoterminowych"</t>
  </si>
  <si>
    <t>Redukcja wielkości emisji poszczególnych substancji w powietrzu osiągnięta w wyniku realizacji działania naprawczego w ciągu roku realizacji programu ochrony powietrza (Mg/rok)</t>
  </si>
  <si>
    <r>
      <t xml:space="preserve">informacje ogólne - </t>
    </r>
    <r>
      <rPr>
        <b/>
        <sz val="11"/>
        <rFont val="Calibri"/>
        <family val="2"/>
        <charset val="238"/>
      </rPr>
      <t>(gminy)</t>
    </r>
  </si>
  <si>
    <r>
      <t xml:space="preserve">informacje szczegółowe o realizacji zadań ZSO </t>
    </r>
    <r>
      <rPr>
        <b/>
        <sz val="11"/>
        <rFont val="Calibri"/>
        <family val="2"/>
        <charset val="238"/>
      </rPr>
      <t>(gminy)</t>
    </r>
  </si>
  <si>
    <r>
      <t xml:space="preserve">informacje szczegółowe o realizacji zadań EE </t>
    </r>
    <r>
      <rPr>
        <b/>
        <sz val="11"/>
        <rFont val="Calibri"/>
        <family val="2"/>
        <charset val="238"/>
      </rPr>
      <t>(gminy)</t>
    </r>
  </si>
  <si>
    <r>
      <t xml:space="preserve">informacje szczegółowe o realizacji zadań KPP </t>
    </r>
    <r>
      <rPr>
        <b/>
        <sz val="11"/>
        <rFont val="Calibri"/>
        <family val="2"/>
        <charset val="238"/>
      </rPr>
      <t>(gminy)</t>
    </r>
  </si>
  <si>
    <r>
      <t xml:space="preserve">informacje szczegółowe o PDK </t>
    </r>
    <r>
      <rPr>
        <b/>
        <sz val="11"/>
        <rFont val="Calibri"/>
        <family val="2"/>
        <charset val="238"/>
      </rPr>
      <t>(gminy)</t>
    </r>
  </si>
  <si>
    <t>Justyna Sodel</t>
  </si>
  <si>
    <t>jsodel@gorno.pl</t>
  </si>
  <si>
    <t>wymiana pieców</t>
  </si>
  <si>
    <t>wszystkie miejscowości gminy</t>
  </si>
  <si>
    <t>spotkania informacyjne dot. programu „Czyste Powietrze”</t>
  </si>
  <si>
    <t>konsultacje w ramach prowadzenia punktu informacyjnego programu „Czyste Powietrze”</t>
  </si>
  <si>
    <t>ulotki informacyjne dot. programu „Czyste Powietrze”</t>
  </si>
  <si>
    <t>konkurs plastyczny „Rok bez smogu w województwie świętokrzyskim”</t>
  </si>
  <si>
    <t>WFOŚiGW w Kielcach</t>
  </si>
  <si>
    <t>rutynowe</t>
  </si>
  <si>
    <t>WFOŚiGW w Kielcach w ramach podpisanego porozumienia</t>
  </si>
  <si>
    <t>artykuł w gazecie i internecie dot. programu "Czyste powietrze" - wymiana źródeł ciepła</t>
  </si>
  <si>
    <t>spoty reklamowe (160 spotów w ramach 1 kampanii dot. wymiany źródeł ciepła - program "Czyste powietrze")</t>
  </si>
  <si>
    <t>brak</t>
  </si>
  <si>
    <t>URZĄD GMINY GÓRNO</t>
  </si>
  <si>
    <t>ul. Łysicka 13, 26-008 Górno</t>
  </si>
  <si>
    <t>41 3023634</t>
  </si>
  <si>
    <t>Przekroczenia poziomu informowania dla pyłu zawieszonego PM10 z datami wystapienia: 01.03.2024 - 100µm/m3, 08.11.2024 - 100µm/m3, 06.12.2024 - 100µm/m3,</t>
  </si>
  <si>
    <t>Efekt wynikający z realizacji działań krótkoterminowych jest trudny do osiągnięcia gdyż większość działan krótkoterminowych odnosi się  do postępowania mieszkanców a system ich wdrażania zależy w głównej mierze od indywiduyalnego podejścia mieszkanców.</t>
  </si>
  <si>
    <t>Na stronie www.gorno.pl w odnośniku: Ostrzeżenia meteorologiczne następuje przekierowanie do strony internetowej: https://czkw.kielce.uw.gov.pl/czk/aktualnosci-i-komunikat/komunikaty-kryzysowe</t>
  </si>
  <si>
    <t>Gmina udostępnia informacje o przekroczeniach za pomocą strony internetowej.</t>
  </si>
  <si>
    <t>https://czkw.kielce.uw.gov.pl/czk/aktualnosci-i-komunikat/komunikaty-kryzysowe/25617,Powiadomienie-o-ryzyku-wystapienia-przekroczenia-poziomu-informowania-dla-pylu-z.html     https://czkw.kielce.uw.gov.pl/czk/aktualnosci-i-komunikat/komunikaty-kryzysowe/25434,Powiadomienie-o-ryzyku-wystapienia-przekroczenia-poziomu-informowania-dla-pylu-z.html   https://czkw.kielce.uw.gov.pl/czk/aktualnosci-i-komunikat/komunikaty-kryzysowe/23595,Uwaga-SMOG-ryzyko-przekroczenie-poziomu-alarmowego-dla-pylu-PM10-powiat-staracho.html</t>
  </si>
  <si>
    <t>Świadomość mieszkańców gminy zwiększa się wraz każdą informacją o jakości powietrza i swobodą dostępu do tych informacji. Dzięki prowadzonemu punktowi konsultacyjnemu programu "Czyste powietrze" znacznie zwiększyła się ilość wymienianych źródeł ciepła na terenie gminy co powoduje znaczna poprawę stanu powietrza. Prowadzone kontrole sposobów palenia również zwiększają wiedze mieszkańców na temat właściwego ropalania i palenia w piecach.</t>
  </si>
  <si>
    <t>https://gorno.biuletyn.net/</t>
  </si>
  <si>
    <t>Mieszkańcy gminy Górno z roku na rok są coraz bardziej świadomym zagrożeń ze strony smogu społeczeństwem i maja większy dostęp do informacji na temat jakości powietrza na terenie gminy. Dzięki temu mieszkańcy mogą podejmować działania dostosowane do aktualnego stanu jakości powietrza.</t>
  </si>
  <si>
    <t>https://gorno.biuletyn.net/?bip=1&amp;cid=1538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</si>
</sst>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quot;zł&quot;"/>
    <numFmt numFmtId="165" formatCode="#,##0.000"/>
    <numFmt numFmtId="166" formatCode="0.0"/>
    <numFmt numFmtId="167" formatCode="0.0000"/>
    <numFmt numFmtId="168" formatCode="#,##0.00000"/>
    <numFmt numFmtId="169" formatCode="0.000"/>
    <numFmt numFmtId="170" formatCode="yyyy\-mm\-dd;@"/>
  </numFmts>
  <fonts count="52" x14ac:knownFonts="1">
    <font>
      <sz val="10"/>
      <name val="Arial"/>
      <charset val="1"/>
    </font>
    <font>
      <b/>
      <sz val="9"/>
      <name val="Calibri"/>
      <family val="2"/>
      <charset val="238"/>
    </font>
    <font>
      <sz val="9"/>
      <name val="Calibri"/>
      <family val="2"/>
      <charset val="238"/>
    </font>
    <font>
      <sz val="9"/>
      <color theme="1"/>
      <name val="Calibri"/>
      <family val="2"/>
      <charset val="238"/>
    </font>
    <font>
      <b/>
      <sz val="9"/>
      <color theme="1"/>
      <name val="Calibri"/>
      <family val="2"/>
      <charset val="238"/>
    </font>
    <font>
      <sz val="10"/>
      <name val="Arial"/>
      <family val="2"/>
      <charset val="238"/>
    </font>
    <font>
      <b/>
      <sz val="9"/>
      <color rgb="FF000000"/>
      <name val="Calibri"/>
      <family val="2"/>
      <charset val="238"/>
    </font>
    <font>
      <b/>
      <i/>
      <sz val="9"/>
      <color rgb="FF000000"/>
      <name val="Calibri"/>
      <family val="2"/>
      <charset val="238"/>
    </font>
    <font>
      <sz val="9"/>
      <color rgb="FF000000"/>
      <name val="Calibri"/>
      <family val="2"/>
      <charset val="238"/>
    </font>
    <font>
      <sz val="10"/>
      <name val="Calibri"/>
      <family val="2"/>
      <charset val="238"/>
    </font>
    <font>
      <i/>
      <sz val="11"/>
      <color theme="1"/>
      <name val="Calibri"/>
      <family val="2"/>
      <charset val="238"/>
    </font>
    <font>
      <i/>
      <sz val="8"/>
      <color rgb="FF000000"/>
      <name val="Calibri"/>
      <family val="2"/>
      <charset val="238"/>
    </font>
    <font>
      <b/>
      <vertAlign val="superscript"/>
      <sz val="9"/>
      <color rgb="FF000000"/>
      <name val="Calibri"/>
      <family val="2"/>
      <charset val="238"/>
    </font>
    <font>
      <sz val="11"/>
      <color rgb="FF000000"/>
      <name val="Calibri"/>
      <family val="2"/>
      <charset val="238"/>
    </font>
    <font>
      <u/>
      <sz val="10"/>
      <color theme="10"/>
      <name val="Arial"/>
      <family val="2"/>
      <charset val="238"/>
    </font>
    <font>
      <sz val="9"/>
      <color rgb="FFFF0000"/>
      <name val="Calibri"/>
      <family val="2"/>
      <charset val="238"/>
    </font>
    <font>
      <b/>
      <sz val="9"/>
      <color rgb="FFFF0000"/>
      <name val="Calibri"/>
      <family val="2"/>
      <charset val="238"/>
    </font>
    <font>
      <b/>
      <vertAlign val="superscript"/>
      <sz val="9"/>
      <color theme="1"/>
      <name val="Calibri"/>
      <family val="2"/>
      <charset val="238"/>
    </font>
    <font>
      <b/>
      <sz val="11"/>
      <color rgb="FFC00000"/>
      <name val="Calibri"/>
      <family val="2"/>
      <charset val="238"/>
    </font>
    <font>
      <b/>
      <sz val="12"/>
      <color rgb="FFC00000"/>
      <name val="Calibri"/>
      <family val="2"/>
      <charset val="238"/>
    </font>
    <font>
      <sz val="8"/>
      <name val="Arial"/>
      <family val="2"/>
      <charset val="238"/>
    </font>
    <font>
      <sz val="8"/>
      <color theme="0" tint="-0.499984740745262"/>
      <name val="Calibri"/>
      <family val="2"/>
      <charset val="238"/>
    </font>
    <font>
      <sz val="8"/>
      <name val="Arial"/>
      <family val="2"/>
      <charset val="238"/>
    </font>
    <font>
      <b/>
      <sz val="12"/>
      <name val="Calibri"/>
      <family val="2"/>
      <charset val="238"/>
    </font>
    <font>
      <i/>
      <sz val="12"/>
      <color rgb="FF0000FF"/>
      <name val="Calibri"/>
      <family val="2"/>
      <charset val="238"/>
    </font>
    <font>
      <b/>
      <i/>
      <sz val="10"/>
      <color rgb="FFC00000"/>
      <name val="Calibri"/>
      <family val="2"/>
      <charset val="238"/>
    </font>
    <font>
      <b/>
      <sz val="16"/>
      <color rgb="FFC00000"/>
      <name val="Calibri"/>
      <family val="2"/>
      <charset val="238"/>
    </font>
    <font>
      <b/>
      <sz val="14"/>
      <color rgb="FFC00000"/>
      <name val="Calibri"/>
      <family val="2"/>
      <charset val="238"/>
    </font>
    <font>
      <b/>
      <vertAlign val="superscript"/>
      <sz val="11"/>
      <color rgb="FFC00000"/>
      <name val="Calibri"/>
      <family val="2"/>
      <charset val="238"/>
    </font>
    <font>
      <b/>
      <sz val="11"/>
      <name val="Calibri"/>
      <family val="2"/>
      <charset val="238"/>
    </font>
    <font>
      <sz val="8"/>
      <color rgb="FF000000"/>
      <name val="Segoe UI"/>
      <family val="2"/>
      <charset val="238"/>
    </font>
    <font>
      <sz val="9"/>
      <color rgb="FF00B0F0"/>
      <name val="Calibri"/>
      <family val="2"/>
      <charset val="238"/>
    </font>
    <font>
      <i/>
      <sz val="9"/>
      <color rgb="FF0000FF"/>
      <name val="Calibri"/>
      <family val="2"/>
      <charset val="238"/>
    </font>
    <font>
      <sz val="11"/>
      <name val="Calibri"/>
      <family val="2"/>
      <charset val="238"/>
    </font>
    <font>
      <b/>
      <u/>
      <sz val="10"/>
      <color theme="10"/>
      <name val="Arial"/>
      <family val="2"/>
      <charset val="238"/>
    </font>
    <font>
      <b/>
      <u/>
      <sz val="11"/>
      <color theme="10"/>
      <name val="Arial"/>
      <family val="2"/>
      <charset val="238"/>
    </font>
    <font>
      <b/>
      <sz val="10"/>
      <name val="Calibri"/>
      <family val="2"/>
      <charset val="238"/>
    </font>
    <font>
      <sz val="12"/>
      <name val="Calibri"/>
      <family val="2"/>
      <charset val="238"/>
    </font>
    <font>
      <b/>
      <sz val="11"/>
      <color rgb="FFFF0000"/>
      <name val="Calibri"/>
      <family val="2"/>
      <charset val="238"/>
    </font>
    <font>
      <sz val="9"/>
      <color rgb="FFFF9900"/>
      <name val="Calibri"/>
      <family val="2"/>
      <charset val="238"/>
    </font>
    <font>
      <b/>
      <u/>
      <sz val="12"/>
      <color rgb="FFFF0000"/>
      <name val="Calibri"/>
      <family val="2"/>
      <charset val="238"/>
    </font>
    <font>
      <i/>
      <sz val="9"/>
      <color rgb="FF000000"/>
      <name val="Calibri"/>
      <family val="2"/>
      <charset val="238"/>
    </font>
    <font>
      <i/>
      <sz val="9"/>
      <color theme="1"/>
      <name val="Calibri"/>
      <family val="2"/>
      <charset val="238"/>
    </font>
    <font>
      <sz val="12"/>
      <color rgb="FF000000"/>
      <name val="Calibri"/>
      <family val="2"/>
      <charset val="238"/>
      <scheme val="minor"/>
    </font>
    <font>
      <sz val="12"/>
      <color theme="1"/>
      <name val="Times New Roman"/>
      <family val="1"/>
      <charset val="238"/>
    </font>
    <font>
      <sz val="12"/>
      <color rgb="FF000000"/>
      <name val="Times New Roman"/>
      <family val="1"/>
      <charset val="238"/>
    </font>
    <font>
      <i/>
      <sz val="12"/>
      <color theme="1"/>
      <name val="Times New Roman"/>
      <family val="1"/>
      <charset val="238"/>
    </font>
    <font>
      <i/>
      <sz val="12"/>
      <color rgb="FF000000"/>
      <name val="Times New Roman"/>
      <family val="1"/>
      <charset val="238"/>
    </font>
    <font>
      <sz val="12"/>
      <name val="Times New Roman"/>
      <family val="1"/>
      <charset val="238"/>
    </font>
    <font>
      <i/>
      <sz val="12"/>
      <name val="Times New Roman"/>
      <family val="1"/>
      <charset val="238"/>
    </font>
    <font>
      <sz val="12"/>
      <color theme="1"/>
      <name val="Calibri"/>
      <family val="2"/>
      <charset val="238"/>
    </font>
    <font>
      <b/>
      <sz val="10"/>
      <color rgb="FFFF0000"/>
      <name val="Arial"/>
      <family val="2"/>
      <charset val="238"/>
    </font>
  </fonts>
  <fills count="17">
    <fill>
      <patternFill patternType="none"/>
    </fill>
    <fill>
      <patternFill patternType="gray125"/>
    </fill>
    <fill>
      <patternFill patternType="solid">
        <fgColor theme="9"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D3D3D3"/>
      </patternFill>
    </fill>
    <fill>
      <patternFill patternType="solid">
        <fgColor rgb="FFFFFF00"/>
        <bgColor indexed="64"/>
      </patternFill>
    </fill>
    <fill>
      <patternFill patternType="solid">
        <fgColor rgb="FFFFFFCC"/>
        <bgColor indexed="64"/>
      </patternFill>
    </fill>
    <fill>
      <patternFill patternType="solid">
        <fgColor theme="2"/>
        <bgColor indexed="64"/>
      </patternFill>
    </fill>
    <fill>
      <patternFill patternType="solid">
        <fgColor theme="5" tint="0.39997558519241921"/>
        <bgColor indexed="64"/>
      </patternFill>
    </fill>
    <fill>
      <patternFill patternType="solid">
        <fgColor rgb="FF00CC99"/>
        <bgColor indexed="64"/>
      </patternFill>
    </fill>
    <fill>
      <patternFill patternType="solid">
        <fgColor theme="6" tint="0.59999389629810485"/>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indexed="64"/>
      </right>
      <top/>
      <bottom/>
      <diagonal/>
    </border>
    <border>
      <left/>
      <right style="medium">
        <color indexed="64"/>
      </right>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indexed="64"/>
      </right>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rgb="FF000000"/>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rgb="FF000000"/>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4">
    <xf numFmtId="0" fontId="0" fillId="0" borderId="0" applyNumberFormat="0" applyFill="0" applyBorder="0" applyAlignment="0" applyProtection="0"/>
    <xf numFmtId="0" fontId="5" fillId="0" borderId="0" applyNumberFormat="0" applyFill="0" applyBorder="0" applyAlignment="0" applyProtection="0"/>
    <xf numFmtId="0" fontId="13" fillId="7" borderId="7">
      <alignment horizontal="left" vertical="center" wrapText="1"/>
    </xf>
    <xf numFmtId="0" fontId="14" fillId="0" borderId="0" applyNumberFormat="0" applyFill="0" applyBorder="0" applyAlignment="0" applyProtection="0">
      <alignment vertical="top"/>
      <protection locked="0"/>
    </xf>
  </cellStyleXfs>
  <cellXfs count="28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1" fontId="2" fillId="0" borderId="0" xfId="1" applyNumberFormat="1" applyFont="1" applyAlignment="1">
      <alignment vertical="center"/>
    </xf>
    <xf numFmtId="49" fontId="2" fillId="0" borderId="0" xfId="1" applyNumberFormat="1" applyFont="1" applyAlignment="1">
      <alignment vertical="center"/>
    </xf>
    <xf numFmtId="0" fontId="2" fillId="0" borderId="0" xfId="0" applyFont="1" applyAlignment="1">
      <alignment horizontal="center" vertical="center"/>
    </xf>
    <xf numFmtId="0" fontId="4" fillId="2" borderId="1" xfId="0" applyFont="1" applyFill="1" applyBorder="1" applyAlignment="1">
      <alignment horizontal="center" vertical="center"/>
    </xf>
    <xf numFmtId="0" fontId="8" fillId="0" borderId="1" xfId="0" applyFont="1" applyBorder="1" applyAlignment="1">
      <alignmen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vertical="center" wrapText="1"/>
    </xf>
    <xf numFmtId="0" fontId="10" fillId="0" borderId="0" xfId="0" applyFont="1" applyFill="1" applyBorder="1" applyAlignment="1">
      <alignment vertical="center"/>
    </xf>
    <xf numFmtId="0" fontId="9" fillId="0" borderId="0" xfId="0" applyFont="1" applyBorder="1" applyAlignment="1">
      <alignment vertical="center"/>
    </xf>
    <xf numFmtId="0" fontId="11" fillId="4" borderId="1" xfId="0" applyFont="1" applyFill="1" applyBorder="1" applyAlignment="1">
      <alignment vertical="center" wrapText="1"/>
    </xf>
    <xf numFmtId="0" fontId="6" fillId="0" borderId="1" xfId="0" applyFont="1" applyFill="1" applyBorder="1" applyAlignment="1">
      <alignment vertical="center"/>
    </xf>
    <xf numFmtId="0" fontId="8" fillId="6" borderId="1" xfId="0" applyFont="1" applyFill="1" applyBorder="1" applyAlignment="1">
      <alignment horizontal="center" vertical="center" wrapText="1"/>
    </xf>
    <xf numFmtId="0" fontId="2" fillId="0" borderId="1" xfId="0" applyFont="1" applyFill="1" applyBorder="1" applyAlignment="1">
      <alignment horizontal="right" vertical="center"/>
    </xf>
    <xf numFmtId="0" fontId="3" fillId="0" borderId="1" xfId="0" applyFont="1" applyBorder="1" applyAlignment="1">
      <alignment vertical="center"/>
    </xf>
    <xf numFmtId="0" fontId="8" fillId="5" borderId="1" xfId="0" applyFont="1" applyFill="1" applyBorder="1" applyAlignment="1" applyProtection="1">
      <alignment vertical="center" wrapText="1"/>
      <protection locked="0"/>
    </xf>
    <xf numFmtId="0" fontId="6" fillId="5" borderId="1" xfId="0" applyFont="1" applyFill="1" applyBorder="1" applyAlignment="1" applyProtection="1">
      <alignment vertical="center" wrapText="1"/>
      <protection locked="0"/>
    </xf>
    <xf numFmtId="0" fontId="6" fillId="5" borderId="1" xfId="0" applyFont="1" applyFill="1" applyBorder="1" applyAlignment="1" applyProtection="1">
      <alignment horizontal="left" vertical="center" wrapText="1"/>
      <protection locked="0"/>
    </xf>
    <xf numFmtId="0" fontId="2" fillId="0" borderId="1" xfId="0" applyFont="1" applyBorder="1" applyAlignment="1">
      <alignment vertical="center" wrapText="1"/>
    </xf>
    <xf numFmtId="0" fontId="8" fillId="0" borderId="1" xfId="0" applyFont="1" applyBorder="1" applyAlignment="1" applyProtection="1">
      <alignment horizontal="center" vertical="center" wrapText="1"/>
      <protection locked="0"/>
    </xf>
    <xf numFmtId="166" fontId="2" fillId="0" borderId="0" xfId="0" applyNumberFormat="1" applyFont="1" applyAlignment="1">
      <alignment vertical="center"/>
    </xf>
    <xf numFmtId="0" fontId="2" fillId="4" borderId="1" xfId="0" applyFont="1" applyFill="1" applyBorder="1" applyAlignment="1">
      <alignment vertical="center" wrapText="1"/>
    </xf>
    <xf numFmtId="167" fontId="2" fillId="0" borderId="0" xfId="0" applyNumberFormat="1" applyFont="1" applyAlignment="1">
      <alignment vertical="center"/>
    </xf>
    <xf numFmtId="0" fontId="3" fillId="0" borderId="1" xfId="0" applyFont="1" applyBorder="1" applyAlignment="1">
      <alignment horizontal="right" vertical="center"/>
    </xf>
    <xf numFmtId="165" fontId="3" fillId="0" borderId="1" xfId="0" applyNumberFormat="1" applyFont="1" applyBorder="1" applyAlignment="1">
      <alignment vertical="center"/>
    </xf>
    <xf numFmtId="165" fontId="3" fillId="0" borderId="1" xfId="0" applyNumberFormat="1" applyFont="1" applyFill="1" applyBorder="1" applyAlignment="1">
      <alignment vertical="center"/>
    </xf>
    <xf numFmtId="0" fontId="2" fillId="0" borderId="1" xfId="0" applyFont="1" applyBorder="1" applyAlignment="1">
      <alignment horizontal="left" vertical="center"/>
    </xf>
    <xf numFmtId="0" fontId="8" fillId="5" borderId="1" xfId="0" applyFont="1" applyFill="1" applyBorder="1" applyAlignment="1" applyProtection="1">
      <alignment horizontal="left" vertical="center" wrapText="1"/>
      <protection locked="0"/>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readingOrder="1"/>
    </xf>
    <xf numFmtId="0" fontId="6" fillId="3" borderId="3" xfId="0" applyFont="1" applyFill="1" applyBorder="1" applyAlignment="1">
      <alignment horizontal="center" vertical="center" wrapText="1" readingOrder="1"/>
    </xf>
    <xf numFmtId="3" fontId="3" fillId="0" borderId="1" xfId="0" applyNumberFormat="1" applyFont="1" applyBorder="1" applyAlignment="1">
      <alignment vertical="center"/>
    </xf>
    <xf numFmtId="0" fontId="21" fillId="0" borderId="0" xfId="0" applyFont="1" applyAlignment="1">
      <alignment horizontal="center" vertical="center"/>
    </xf>
    <xf numFmtId="0" fontId="1" fillId="2" borderId="3" xfId="0" applyFont="1" applyFill="1" applyBorder="1" applyAlignment="1">
      <alignment horizontal="center" vertical="center" wrapText="1"/>
    </xf>
    <xf numFmtId="3" fontId="3" fillId="0" borderId="4" xfId="0" applyNumberFormat="1" applyFont="1" applyBorder="1" applyAlignment="1">
      <alignment vertical="center"/>
    </xf>
    <xf numFmtId="0" fontId="1" fillId="10" borderId="3" xfId="0" applyFont="1" applyFill="1" applyBorder="1" applyAlignment="1">
      <alignment vertical="center"/>
    </xf>
    <xf numFmtId="0" fontId="1" fillId="9" borderId="3" xfId="0" applyFont="1" applyFill="1" applyBorder="1" applyAlignment="1">
      <alignment horizontal="center" vertical="center"/>
    </xf>
    <xf numFmtId="0" fontId="1" fillId="9" borderId="10" xfId="0" applyFont="1" applyFill="1" applyBorder="1" applyAlignment="1">
      <alignment horizontal="center" vertical="center"/>
    </xf>
    <xf numFmtId="0" fontId="7" fillId="10" borderId="1" xfId="0" applyFont="1" applyFill="1" applyBorder="1" applyAlignment="1">
      <alignment horizontal="center" vertical="center" wrapText="1"/>
    </xf>
    <xf numFmtId="0" fontId="14" fillId="0" borderId="0" xfId="3" applyAlignment="1" applyProtection="1">
      <alignment vertical="center"/>
    </xf>
    <xf numFmtId="0" fontId="25" fillId="5" borderId="1" xfId="0" applyFont="1" applyFill="1" applyBorder="1" applyAlignment="1">
      <alignment vertical="center"/>
    </xf>
    <xf numFmtId="0" fontId="8" fillId="11" borderId="1" xfId="0" applyFont="1" applyFill="1" applyBorder="1" applyAlignment="1">
      <alignment vertical="center"/>
    </xf>
    <xf numFmtId="0" fontId="7" fillId="11" borderId="1" xfId="0" applyFont="1" applyFill="1" applyBorder="1" applyAlignment="1">
      <alignment horizontal="center" vertical="center"/>
    </xf>
    <xf numFmtId="0" fontId="6" fillId="11" borderId="1" xfId="0" applyFont="1" applyFill="1" applyBorder="1" applyAlignment="1" applyProtection="1">
      <alignment horizontal="left" vertical="center"/>
      <protection locked="0"/>
    </xf>
    <xf numFmtId="0" fontId="8" fillId="11" borderId="1" xfId="0" applyFont="1" applyFill="1" applyBorder="1" applyAlignment="1" applyProtection="1">
      <alignment vertical="center"/>
      <protection locked="0"/>
    </xf>
    <xf numFmtId="0" fontId="6" fillId="5" borderId="1" xfId="0" applyFont="1" applyFill="1" applyBorder="1" applyAlignment="1">
      <alignment vertical="center" wrapText="1"/>
    </xf>
    <xf numFmtId="0" fontId="4" fillId="9" borderId="1" xfId="0" applyFont="1" applyFill="1" applyBorder="1" applyAlignment="1">
      <alignment vertical="center" wrapText="1"/>
    </xf>
    <xf numFmtId="0" fontId="8" fillId="0" borderId="1" xfId="0" applyFont="1" applyBorder="1" applyAlignment="1" applyProtection="1">
      <alignment vertical="center"/>
    </xf>
    <xf numFmtId="0" fontId="18" fillId="0" borderId="8" xfId="0" applyFont="1" applyBorder="1" applyAlignment="1">
      <alignment horizontal="right" vertical="center"/>
    </xf>
    <xf numFmtId="0" fontId="19" fillId="0" borderId="9" xfId="0" applyFont="1" applyBorder="1" applyAlignment="1">
      <alignment horizontal="center" vertical="center"/>
    </xf>
    <xf numFmtId="0" fontId="19" fillId="0" borderId="0" xfId="0" applyFont="1" applyBorder="1" applyAlignment="1">
      <alignment horizontal="center" vertical="center"/>
    </xf>
    <xf numFmtId="0" fontId="18" fillId="4" borderId="1" xfId="0" applyFont="1" applyFill="1" applyBorder="1" applyAlignment="1">
      <alignment vertical="center"/>
    </xf>
    <xf numFmtId="164" fontId="18" fillId="4" borderId="1" xfId="0" applyNumberFormat="1" applyFont="1" applyFill="1" applyBorder="1" applyAlignment="1">
      <alignment vertical="center"/>
    </xf>
    <xf numFmtId="0" fontId="26" fillId="8" borderId="1" xfId="0" applyFont="1" applyFill="1" applyBorder="1" applyAlignment="1">
      <alignmen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1" fillId="10" borderId="1" xfId="0" applyFont="1" applyFill="1" applyBorder="1" applyAlignment="1">
      <alignment vertical="center"/>
    </xf>
    <xf numFmtId="0" fontId="1" fillId="10" borderId="1" xfId="0" applyFont="1" applyFill="1" applyBorder="1" applyAlignment="1">
      <alignment vertical="center" wrapText="1"/>
    </xf>
    <xf numFmtId="169" fontId="18" fillId="4" borderId="1" xfId="0" applyNumberFormat="1" applyFont="1" applyFill="1" applyBorder="1" applyAlignment="1">
      <alignment vertical="center"/>
    </xf>
    <xf numFmtId="0" fontId="3" fillId="0" borderId="5" xfId="0" applyFont="1" applyBorder="1" applyAlignment="1">
      <alignment vertical="center"/>
    </xf>
    <xf numFmtId="168" fontId="3" fillId="0" borderId="4" xfId="0" applyNumberFormat="1" applyFont="1" applyBorder="1" applyAlignment="1">
      <alignment vertical="center"/>
    </xf>
    <xf numFmtId="168" fontId="3" fillId="0" borderId="4" xfId="0" applyNumberFormat="1" applyFont="1" applyFill="1" applyBorder="1" applyAlignment="1">
      <alignment vertical="center"/>
    </xf>
    <xf numFmtId="0" fontId="1" fillId="2" borderId="15" xfId="0" applyFont="1" applyFill="1" applyBorder="1" applyAlignment="1">
      <alignment horizontal="center" vertical="center"/>
    </xf>
    <xf numFmtId="0" fontId="1"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3" fillId="0" borderId="13" xfId="0" applyFont="1" applyBorder="1" applyAlignment="1">
      <alignment vertical="center"/>
    </xf>
    <xf numFmtId="0" fontId="3" fillId="0" borderId="2" xfId="0" applyFont="1" applyBorder="1" applyAlignment="1">
      <alignment horizontal="right" vertical="center"/>
    </xf>
    <xf numFmtId="165" fontId="3" fillId="0" borderId="2" xfId="0" applyNumberFormat="1" applyFont="1" applyBorder="1" applyAlignment="1">
      <alignment vertical="center"/>
    </xf>
    <xf numFmtId="168" fontId="3" fillId="0" borderId="14" xfId="0" applyNumberFormat="1" applyFont="1" applyBorder="1" applyAlignment="1">
      <alignment vertical="center"/>
    </xf>
    <xf numFmtId="165" fontId="8" fillId="0" borderId="1" xfId="0" applyNumberFormat="1" applyFont="1" applyBorder="1" applyAlignment="1" applyProtection="1">
      <alignment vertical="center" wrapText="1"/>
      <protection locked="0"/>
    </xf>
    <xf numFmtId="0" fontId="8"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8" fillId="11" borderId="1" xfId="0" applyFont="1" applyFill="1" applyBorder="1" applyAlignment="1" applyProtection="1">
      <alignment horizontal="left" vertical="center"/>
      <protection locked="0"/>
    </xf>
    <xf numFmtId="1" fontId="4" fillId="9" borderId="1" xfId="0" applyNumberFormat="1" applyFont="1" applyFill="1" applyBorder="1" applyAlignment="1">
      <alignment horizontal="center" vertical="center"/>
    </xf>
    <xf numFmtId="3" fontId="19" fillId="0" borderId="9" xfId="0" applyNumberFormat="1" applyFont="1" applyBorder="1" applyAlignment="1">
      <alignment horizontal="center" vertical="center"/>
    </xf>
    <xf numFmtId="0" fontId="29" fillId="4" borderId="1" xfId="0" applyFont="1" applyFill="1" applyBorder="1" applyAlignment="1">
      <alignment horizontal="center" vertical="center"/>
    </xf>
    <xf numFmtId="0" fontId="2" fillId="4" borderId="1" xfId="0" applyFont="1" applyFill="1" applyBorder="1" applyAlignment="1">
      <alignment vertical="center"/>
    </xf>
    <xf numFmtId="0" fontId="2" fillId="5" borderId="1" xfId="0" applyFont="1" applyFill="1" applyBorder="1" applyAlignment="1">
      <alignment vertical="center" wrapText="1"/>
    </xf>
    <xf numFmtId="0" fontId="31" fillId="5" borderId="1" xfId="0" applyFont="1" applyFill="1" applyBorder="1" applyAlignment="1">
      <alignment vertical="center" wrapText="1"/>
    </xf>
    <xf numFmtId="0" fontId="1" fillId="6" borderId="1" xfId="0" applyFont="1" applyFill="1" applyBorder="1" applyAlignment="1">
      <alignment vertical="center"/>
    </xf>
    <xf numFmtId="0" fontId="4" fillId="4" borderId="1" xfId="0" applyFont="1" applyFill="1" applyBorder="1" applyAlignment="1">
      <alignment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left" vertical="center"/>
    </xf>
    <xf numFmtId="0" fontId="32" fillId="4" borderId="1" xfId="0" applyFont="1" applyFill="1" applyBorder="1" applyAlignment="1">
      <alignment vertical="center" wrapText="1"/>
    </xf>
    <xf numFmtId="0" fontId="32" fillId="4" borderId="1" xfId="0" applyFont="1" applyFill="1" applyBorder="1" applyAlignment="1">
      <alignment vertical="center"/>
    </xf>
    <xf numFmtId="165" fontId="18" fillId="4" borderId="1" xfId="0" applyNumberFormat="1" applyFont="1" applyFill="1" applyBorder="1" applyAlignment="1">
      <alignment vertical="center"/>
    </xf>
    <xf numFmtId="0" fontId="2" fillId="11" borderId="1" xfId="0" applyFont="1" applyFill="1" applyBorder="1" applyAlignment="1">
      <alignment vertical="center"/>
    </xf>
    <xf numFmtId="0" fontId="6" fillId="11" borderId="11" xfId="0" applyFont="1" applyFill="1" applyBorder="1" applyAlignment="1">
      <alignment vertical="center" wrapText="1" readingOrder="1"/>
    </xf>
    <xf numFmtId="0" fontId="2" fillId="0" borderId="12" xfId="0" applyFont="1" applyBorder="1" applyAlignment="1">
      <alignment vertical="center"/>
    </xf>
    <xf numFmtId="0" fontId="18" fillId="0" borderId="9" xfId="0" applyFont="1" applyBorder="1" applyAlignment="1">
      <alignment horizontal="right" vertical="center"/>
    </xf>
    <xf numFmtId="0" fontId="18" fillId="4" borderId="1" xfId="0" applyFont="1" applyFill="1" applyBorder="1" applyAlignment="1">
      <alignment horizontal="center" vertical="center" wrapText="1"/>
    </xf>
    <xf numFmtId="3" fontId="18" fillId="4" borderId="1" xfId="0" applyNumberFormat="1" applyFont="1" applyFill="1" applyBorder="1" applyAlignment="1">
      <alignment vertical="center"/>
    </xf>
    <xf numFmtId="0" fontId="2" fillId="3" borderId="1" xfId="0" applyFont="1" applyFill="1" applyBorder="1" applyAlignment="1">
      <alignment horizontal="left" vertical="center"/>
    </xf>
    <xf numFmtId="0" fontId="2" fillId="6" borderId="1" xfId="0" applyFont="1" applyFill="1" applyBorder="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vertical="center"/>
    </xf>
    <xf numFmtId="3" fontId="2" fillId="0" borderId="1" xfId="0" applyNumberFormat="1" applyFont="1" applyBorder="1" applyAlignment="1">
      <alignment vertical="center"/>
    </xf>
    <xf numFmtId="0" fontId="33" fillId="0" borderId="0" xfId="0" applyFont="1" applyAlignment="1">
      <alignment vertical="center"/>
    </xf>
    <xf numFmtId="0" fontId="9" fillId="0" borderId="0" xfId="0" applyFont="1" applyAlignment="1">
      <alignment vertical="center"/>
    </xf>
    <xf numFmtId="0" fontId="6"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lignment vertical="center" wrapText="1"/>
    </xf>
    <xf numFmtId="0" fontId="34" fillId="0" borderId="0" xfId="3" applyFont="1" applyAlignment="1" applyProtection="1">
      <alignment vertical="center"/>
    </xf>
    <xf numFmtId="0" fontId="35" fillId="0" borderId="0" xfId="3" applyFont="1" applyAlignment="1" applyProtection="1">
      <alignment vertical="center"/>
    </xf>
    <xf numFmtId="0" fontId="36" fillId="0" borderId="0" xfId="0" applyFont="1" applyAlignment="1">
      <alignment vertical="center"/>
    </xf>
    <xf numFmtId="0" fontId="37" fillId="0" borderId="0" xfId="0" applyFont="1" applyAlignment="1">
      <alignment vertical="center"/>
    </xf>
    <xf numFmtId="0" fontId="29" fillId="0" borderId="0" xfId="0" applyFont="1" applyAlignment="1">
      <alignment vertical="center"/>
    </xf>
    <xf numFmtId="3" fontId="8" fillId="5" borderId="1" xfId="0" applyNumberFormat="1" applyFont="1" applyFill="1" applyBorder="1" applyAlignment="1" applyProtection="1">
      <alignment vertical="center" wrapText="1"/>
      <protection locked="0"/>
    </xf>
    <xf numFmtId="164" fontId="2" fillId="5" borderId="1" xfId="0" applyNumberFormat="1" applyFont="1" applyFill="1" applyBorder="1" applyAlignment="1" applyProtection="1">
      <alignment vertical="center"/>
      <protection locked="0"/>
    </xf>
    <xf numFmtId="164" fontId="2" fillId="5" borderId="1" xfId="0" applyNumberFormat="1" applyFont="1" applyFill="1" applyBorder="1" applyAlignment="1" applyProtection="1">
      <alignment vertical="center" wrapText="1"/>
      <protection locked="0"/>
    </xf>
    <xf numFmtId="0" fontId="8" fillId="5" borderId="1" xfId="0" applyFont="1" applyFill="1" applyBorder="1" applyAlignment="1" applyProtection="1">
      <alignment horizontal="center" vertical="center" wrapText="1"/>
      <protection locked="0"/>
    </xf>
    <xf numFmtId="170" fontId="2" fillId="5" borderId="1" xfId="0" applyNumberFormat="1" applyFont="1" applyFill="1" applyBorder="1" applyAlignment="1">
      <alignment vertical="center" wrapText="1"/>
    </xf>
    <xf numFmtId="0" fontId="3" fillId="5" borderId="1" xfId="0" applyFont="1" applyFill="1" applyBorder="1" applyAlignment="1">
      <alignment horizontal="left" vertical="center" wrapText="1"/>
    </xf>
    <xf numFmtId="0" fontId="2" fillId="5" borderId="1" xfId="0" applyFont="1" applyFill="1" applyBorder="1" applyAlignment="1">
      <alignment vertical="center"/>
    </xf>
    <xf numFmtId="0" fontId="23" fillId="0" borderId="0" xfId="0" applyFont="1" applyAlignment="1">
      <alignment vertical="center"/>
    </xf>
    <xf numFmtId="0" fontId="15" fillId="0" borderId="0" xfId="0" applyFont="1" applyAlignment="1">
      <alignment vertical="center"/>
    </xf>
    <xf numFmtId="0" fontId="38" fillId="0" borderId="0" xfId="0" applyFont="1" applyAlignment="1">
      <alignment vertical="center"/>
    </xf>
    <xf numFmtId="0" fontId="27" fillId="0" borderId="9" xfId="0" applyFont="1" applyBorder="1" applyAlignment="1">
      <alignment horizontal="left" vertical="center"/>
    </xf>
    <xf numFmtId="0" fontId="36" fillId="0" borderId="0" xfId="0" applyFont="1" applyAlignment="1">
      <alignment horizontal="left" vertical="center"/>
    </xf>
    <xf numFmtId="0" fontId="41" fillId="4" borderId="1" xfId="0" applyFont="1" applyFill="1" applyBorder="1" applyAlignment="1">
      <alignment vertical="center" wrapText="1"/>
    </xf>
    <xf numFmtId="0" fontId="41" fillId="4" borderId="1" xfId="0" applyFont="1" applyFill="1" applyBorder="1" applyAlignment="1">
      <alignment horizontal="left" vertical="center" wrapText="1"/>
    </xf>
    <xf numFmtId="164" fontId="42" fillId="4" borderId="1" xfId="0" applyNumberFormat="1" applyFont="1" applyFill="1" applyBorder="1" applyAlignment="1">
      <alignment vertical="center" wrapText="1"/>
    </xf>
    <xf numFmtId="0" fontId="7" fillId="4" borderId="1" xfId="0" applyFont="1" applyFill="1" applyBorder="1" applyAlignment="1">
      <alignment horizontal="left" vertical="center" wrapText="1"/>
    </xf>
    <xf numFmtId="0" fontId="6" fillId="12" borderId="1"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0" fontId="24" fillId="0" borderId="1" xfId="0" applyFont="1" applyBorder="1" applyAlignment="1">
      <alignment horizontal="center" vertical="center"/>
    </xf>
    <xf numFmtId="0" fontId="43" fillId="0" borderId="0" xfId="0" applyFont="1" applyAlignment="1">
      <alignment vertical="center"/>
    </xf>
    <xf numFmtId="0" fontId="14" fillId="0" borderId="0" xfId="3" applyAlignment="1" applyProtection="1">
      <alignment horizontal="justify" vertical="center"/>
    </xf>
    <xf numFmtId="0" fontId="44" fillId="0" borderId="0" xfId="0" applyFont="1" applyAlignment="1">
      <alignment vertical="center"/>
    </xf>
    <xf numFmtId="0" fontId="45" fillId="15" borderId="18" xfId="0" applyFont="1" applyFill="1" applyBorder="1" applyAlignment="1">
      <alignment horizontal="center" vertical="center" wrapText="1"/>
    </xf>
    <xf numFmtId="0" fontId="45" fillId="15" borderId="19" xfId="0" applyFont="1" applyFill="1" applyBorder="1" applyAlignment="1">
      <alignment vertical="center" wrapText="1"/>
    </xf>
    <xf numFmtId="0" fontId="45" fillId="15" borderId="20" xfId="0" applyFont="1" applyFill="1" applyBorder="1" applyAlignment="1">
      <alignment horizontal="center" vertical="center" wrapText="1"/>
    </xf>
    <xf numFmtId="0" fontId="5" fillId="0" borderId="0" xfId="0" applyFont="1"/>
    <xf numFmtId="0" fontId="0" fillId="0" borderId="0" xfId="0" applyBorder="1"/>
    <xf numFmtId="0" fontId="45" fillId="15" borderId="21" xfId="0" applyFont="1" applyFill="1" applyBorder="1" applyAlignment="1">
      <alignment vertical="center" wrapText="1"/>
    </xf>
    <xf numFmtId="0" fontId="47" fillId="14" borderId="34" xfId="0" applyFont="1" applyFill="1" applyBorder="1" applyAlignment="1">
      <alignment horizontal="center" vertical="center" wrapText="1"/>
    </xf>
    <xf numFmtId="0" fontId="47" fillId="14" borderId="35"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5" fillId="0" borderId="27" xfId="0" applyFont="1" applyFill="1" applyBorder="1" applyAlignment="1">
      <alignment horizontal="center" vertical="center" wrapText="1"/>
    </xf>
    <xf numFmtId="0" fontId="45" fillId="0" borderId="0" xfId="0" applyFont="1" applyFill="1" applyBorder="1" applyAlignment="1">
      <alignment vertical="center" wrapText="1"/>
    </xf>
    <xf numFmtId="0" fontId="44" fillId="0" borderId="36" xfId="0" applyFont="1" applyFill="1" applyBorder="1" applyAlignment="1">
      <alignment vertical="center" wrapText="1"/>
    </xf>
    <xf numFmtId="0" fontId="45" fillId="15" borderId="28" xfId="0" applyFont="1" applyFill="1" applyBorder="1" applyAlignment="1">
      <alignment vertical="center" wrapText="1"/>
    </xf>
    <xf numFmtId="0" fontId="45" fillId="15" borderId="28" xfId="0" applyFont="1" applyFill="1" applyBorder="1" applyAlignment="1">
      <alignment horizontal="center" vertical="center" wrapText="1"/>
    </xf>
    <xf numFmtId="0" fontId="48" fillId="15" borderId="18" xfId="0" applyFont="1" applyFill="1" applyBorder="1" applyAlignment="1">
      <alignment horizontal="center" vertical="center" wrapText="1"/>
    </xf>
    <xf numFmtId="0" fontId="48" fillId="15" borderId="19" xfId="0" applyFont="1" applyFill="1" applyBorder="1" applyAlignment="1">
      <alignment vertical="center" wrapText="1"/>
    </xf>
    <xf numFmtId="0" fontId="45" fillId="14" borderId="23" xfId="0" applyFont="1" applyFill="1" applyBorder="1" applyAlignment="1">
      <alignment horizontal="center" vertical="center" wrapText="1"/>
    </xf>
    <xf numFmtId="0" fontId="45" fillId="14" borderId="28" xfId="0" applyFont="1" applyFill="1" applyBorder="1" applyAlignment="1">
      <alignment horizontal="center" vertical="center" wrapText="1"/>
    </xf>
    <xf numFmtId="0" fontId="51" fillId="9" borderId="0" xfId="0" applyFont="1" applyFill="1"/>
    <xf numFmtId="0" fontId="0" fillId="9" borderId="0" xfId="0" applyFill="1" applyAlignment="1">
      <alignment horizontal="center"/>
    </xf>
    <xf numFmtId="0" fontId="46" fillId="9" borderId="28" xfId="0" applyFont="1" applyFill="1" applyBorder="1" applyAlignment="1">
      <alignment vertical="center" wrapText="1"/>
    </xf>
    <xf numFmtId="0" fontId="46" fillId="9" borderId="25" xfId="0" applyFont="1" applyFill="1" applyBorder="1" applyAlignment="1">
      <alignment vertical="center" wrapText="1"/>
    </xf>
    <xf numFmtId="0" fontId="44" fillId="0" borderId="19" xfId="0" applyFont="1" applyFill="1" applyBorder="1" applyAlignment="1">
      <alignment horizontal="center" vertical="center" wrapText="1"/>
    </xf>
    <xf numFmtId="0" fontId="44" fillId="0" borderId="37"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37" xfId="0" applyFont="1" applyFill="1" applyBorder="1" applyAlignment="1">
      <alignment vertical="center" wrapText="1"/>
    </xf>
    <xf numFmtId="0" fontId="44" fillId="0" borderId="19" xfId="0" applyFont="1" applyFill="1" applyBorder="1" applyAlignment="1">
      <alignment vertical="center" wrapText="1"/>
    </xf>
    <xf numFmtId="0" fontId="44" fillId="0" borderId="25" xfId="0" applyFont="1" applyFill="1" applyBorder="1" applyAlignment="1">
      <alignment vertical="center" wrapText="1"/>
    </xf>
    <xf numFmtId="0" fontId="44" fillId="0" borderId="37" xfId="0" applyFont="1" applyFill="1" applyBorder="1" applyAlignment="1">
      <alignment horizontal="left" vertical="center" wrapText="1"/>
    </xf>
    <xf numFmtId="0" fontId="44" fillId="0" borderId="38" xfId="0" applyFont="1" applyFill="1" applyBorder="1" applyAlignment="1">
      <alignment vertical="center" wrapText="1"/>
    </xf>
    <xf numFmtId="0" fontId="44" fillId="0" borderId="28" xfId="0" applyFont="1" applyFill="1" applyBorder="1" applyAlignment="1">
      <alignment vertical="center" wrapText="1"/>
    </xf>
    <xf numFmtId="0" fontId="44" fillId="0" borderId="39" xfId="0" applyFont="1" applyFill="1" applyBorder="1" applyAlignment="1">
      <alignment vertical="center" wrapText="1"/>
    </xf>
    <xf numFmtId="10" fontId="49" fillId="0" borderId="38" xfId="0" applyNumberFormat="1" applyFont="1" applyFill="1" applyBorder="1" applyAlignment="1">
      <alignment vertical="center" wrapText="1"/>
    </xf>
    <xf numFmtId="10" fontId="49" fillId="0" borderId="19" xfId="0" applyNumberFormat="1" applyFont="1" applyFill="1" applyBorder="1" applyAlignment="1">
      <alignment vertical="center" wrapText="1"/>
    </xf>
    <xf numFmtId="10" fontId="49" fillId="0" borderId="25" xfId="0" applyNumberFormat="1" applyFont="1" applyFill="1" applyBorder="1" applyAlignment="1">
      <alignment vertical="center" wrapText="1"/>
    </xf>
    <xf numFmtId="0" fontId="44" fillId="0" borderId="24" xfId="0" applyFont="1" applyFill="1" applyBorder="1" applyAlignment="1">
      <alignment vertical="center" wrapText="1"/>
    </xf>
    <xf numFmtId="0" fontId="44" fillId="0" borderId="30" xfId="0" applyFont="1" applyFill="1" applyBorder="1" applyAlignment="1">
      <alignment vertical="center" wrapText="1"/>
    </xf>
    <xf numFmtId="0" fontId="44" fillId="0" borderId="9" xfId="0" applyFont="1" applyFill="1" applyBorder="1" applyAlignment="1">
      <alignment vertical="center" wrapText="1"/>
    </xf>
    <xf numFmtId="0" fontId="44" fillId="0" borderId="0" xfId="0" applyFont="1" applyFill="1" applyBorder="1" applyAlignment="1">
      <alignment vertical="center" wrapText="1"/>
    </xf>
    <xf numFmtId="0" fontId="46" fillId="0" borderId="6" xfId="0" applyFont="1" applyFill="1" applyBorder="1" applyAlignment="1">
      <alignment vertical="center" wrapText="1"/>
    </xf>
    <xf numFmtId="0" fontId="44" fillId="0" borderId="6" xfId="0" applyFont="1" applyFill="1" applyBorder="1" applyAlignment="1">
      <alignment vertical="center" wrapText="1"/>
    </xf>
    <xf numFmtId="3" fontId="46" fillId="0" borderId="31" xfId="0" applyNumberFormat="1" applyFont="1" applyFill="1" applyBorder="1" applyAlignment="1">
      <alignment vertical="center" wrapText="1"/>
    </xf>
    <xf numFmtId="3" fontId="46" fillId="0" borderId="32" xfId="0" applyNumberFormat="1" applyFont="1" applyFill="1" applyBorder="1" applyAlignment="1">
      <alignment vertical="center" wrapText="1"/>
    </xf>
    <xf numFmtId="0" fontId="46" fillId="0" borderId="0" xfId="0" applyFont="1" applyFill="1" applyBorder="1" applyAlignment="1">
      <alignment vertical="center" wrapText="1"/>
    </xf>
    <xf numFmtId="0" fontId="46" fillId="0" borderId="31" xfId="0" applyFont="1" applyFill="1" applyBorder="1" applyAlignment="1">
      <alignment vertical="center" wrapText="1"/>
    </xf>
    <xf numFmtId="0" fontId="44" fillId="0" borderId="31" xfId="0" applyFont="1" applyFill="1" applyBorder="1" applyAlignment="1">
      <alignment vertical="center" wrapText="1"/>
    </xf>
    <xf numFmtId="0" fontId="46" fillId="0" borderId="32" xfId="0" applyFont="1" applyFill="1" applyBorder="1" applyAlignment="1">
      <alignment vertical="center" wrapText="1"/>
    </xf>
    <xf numFmtId="0" fontId="46" fillId="16" borderId="38" xfId="0" applyFont="1" applyFill="1" applyBorder="1" applyAlignment="1">
      <alignment vertical="center" wrapText="1"/>
    </xf>
    <xf numFmtId="0" fontId="46" fillId="16" borderId="28" xfId="0" applyFont="1" applyFill="1" applyBorder="1" applyAlignment="1">
      <alignment vertical="center" wrapText="1"/>
    </xf>
    <xf numFmtId="0" fontId="14" fillId="5" borderId="1" xfId="3" applyFill="1" applyBorder="1" applyAlignment="1" applyProtection="1">
      <alignment vertical="center" wrapText="1"/>
      <protection locked="0"/>
    </xf>
    <xf numFmtId="0" fontId="2" fillId="0" borderId="1" xfId="0" applyFont="1" applyFill="1" applyBorder="1" applyAlignment="1">
      <alignment vertical="center"/>
    </xf>
    <xf numFmtId="0" fontId="8" fillId="0" borderId="1" xfId="0" applyFont="1" applyFill="1" applyBorder="1" applyAlignment="1" applyProtection="1">
      <alignment vertical="center"/>
    </xf>
    <xf numFmtId="0" fontId="2" fillId="0" borderId="1" xfId="0" applyFont="1" applyFill="1" applyBorder="1" applyAlignment="1">
      <alignment vertical="center" wrapText="1"/>
    </xf>
    <xf numFmtId="0" fontId="8" fillId="0" borderId="1" xfId="0" applyFont="1" applyFill="1" applyBorder="1" applyAlignment="1" applyProtection="1">
      <alignment horizontal="left" vertical="center" wrapText="1"/>
      <protection locked="0"/>
    </xf>
    <xf numFmtId="3" fontId="8" fillId="0" borderId="1" xfId="0" applyNumberFormat="1" applyFont="1" applyFill="1" applyBorder="1" applyAlignment="1" applyProtection="1">
      <alignment vertical="center" wrapText="1"/>
      <protection locked="0"/>
    </xf>
    <xf numFmtId="165" fontId="8" fillId="0" borderId="1" xfId="0" applyNumberFormat="1" applyFont="1" applyFill="1" applyBorder="1" applyAlignment="1" applyProtection="1">
      <alignment vertical="center" wrapText="1"/>
      <protection locked="0"/>
    </xf>
    <xf numFmtId="164" fontId="2" fillId="0" borderId="1" xfId="0" applyNumberFormat="1" applyFont="1" applyFill="1" applyBorder="1" applyAlignment="1" applyProtection="1">
      <alignment vertical="center"/>
      <protection locked="0"/>
    </xf>
    <xf numFmtId="164" fontId="2" fillId="0" borderId="1" xfId="0" applyNumberFormat="1" applyFont="1" applyFill="1" applyBorder="1" applyAlignment="1" applyProtection="1">
      <alignment vertical="center" wrapText="1"/>
      <protection locked="0"/>
    </xf>
    <xf numFmtId="0" fontId="2" fillId="0" borderId="0" xfId="0" applyFont="1" applyFill="1" applyAlignment="1">
      <alignment vertical="center"/>
    </xf>
    <xf numFmtId="0" fontId="8" fillId="0" borderId="1" xfId="0" applyFont="1" applyFill="1" applyBorder="1" applyAlignment="1" applyProtection="1">
      <alignment horizontal="left" vertical="center"/>
      <protection locked="0"/>
    </xf>
    <xf numFmtId="3" fontId="2" fillId="5" borderId="1" xfId="0" applyNumberFormat="1"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3" fontId="3" fillId="5" borderId="1" xfId="0" applyNumberFormat="1" applyFont="1" applyFill="1" applyBorder="1" applyAlignment="1" applyProtection="1">
      <alignment vertical="center" wrapText="1"/>
      <protection locked="0"/>
    </xf>
    <xf numFmtId="0" fontId="14" fillId="5" borderId="1" xfId="3" applyFill="1" applyBorder="1" applyAlignment="1" applyProtection="1">
      <alignment vertical="center" wrapText="1"/>
    </xf>
    <xf numFmtId="0" fontId="4" fillId="9" borderId="4"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3" fillId="13" borderId="0" xfId="0" applyFont="1" applyFill="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0" fillId="0" borderId="0" xfId="0" applyAlignment="1">
      <alignment horizontal="left"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readingOrder="1"/>
    </xf>
    <xf numFmtId="0" fontId="6" fillId="3" borderId="2" xfId="0" applyFont="1" applyFill="1" applyBorder="1" applyAlignment="1">
      <alignment horizontal="center" vertical="center" wrapText="1" readingOrder="1"/>
    </xf>
    <xf numFmtId="0" fontId="6" fillId="3" borderId="3" xfId="0" applyFont="1" applyFill="1" applyBorder="1" applyAlignment="1">
      <alignment horizontal="center" vertical="center" wrapText="1" readingOrder="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8" fillId="4" borderId="4"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5" xfId="0" applyFont="1" applyFill="1" applyBorder="1" applyAlignment="1">
      <alignment horizontal="center" vertical="center"/>
    </xf>
    <xf numFmtId="0" fontId="6" fillId="3" borderId="1" xfId="0" applyFont="1" applyFill="1" applyBorder="1" applyAlignment="1">
      <alignment horizontal="center" vertical="center" wrapText="1" readingOrder="1"/>
    </xf>
    <xf numFmtId="0" fontId="6" fillId="3" borderId="4" xfId="0" applyFont="1" applyFill="1" applyBorder="1" applyAlignment="1">
      <alignment horizontal="center" vertical="center" wrapText="1" readingOrder="1"/>
    </xf>
    <xf numFmtId="0" fontId="6" fillId="3" borderId="6" xfId="0" applyFont="1" applyFill="1" applyBorder="1" applyAlignment="1">
      <alignment horizontal="center" vertical="center" wrapText="1" readingOrder="1"/>
    </xf>
    <xf numFmtId="0" fontId="6" fillId="3" borderId="5" xfId="0" applyFont="1" applyFill="1" applyBorder="1" applyAlignment="1">
      <alignment horizontal="center" vertical="center" wrapText="1" readingOrder="1"/>
    </xf>
    <xf numFmtId="0" fontId="0" fillId="0" borderId="3" xfId="0" applyBorder="1" applyAlignment="1">
      <alignment horizontal="center" vertical="center" wrapText="1" readingOrder="1"/>
    </xf>
    <xf numFmtId="0" fontId="18" fillId="4" borderId="1" xfId="0" applyFont="1" applyFill="1" applyBorder="1" applyAlignment="1">
      <alignment horizontal="center" vertical="center"/>
    </xf>
    <xf numFmtId="0" fontId="0" fillId="0" borderId="3" xfId="0" applyBorder="1" applyAlignment="1">
      <alignment horizontal="center" vertical="center" wrapText="1"/>
    </xf>
    <xf numFmtId="0" fontId="6" fillId="3" borderId="11" xfId="0" applyFont="1" applyFill="1" applyBorder="1" applyAlignment="1">
      <alignment horizontal="center" vertical="center" wrapText="1" readingOrder="1"/>
    </xf>
    <xf numFmtId="0" fontId="6" fillId="12" borderId="4" xfId="0" applyFont="1" applyFill="1" applyBorder="1" applyAlignment="1">
      <alignment horizontal="center" vertical="center" wrapText="1" readingOrder="1"/>
    </xf>
    <xf numFmtId="0" fontId="6" fillId="12" borderId="6" xfId="0" applyFont="1" applyFill="1" applyBorder="1" applyAlignment="1">
      <alignment horizontal="center" vertical="center" wrapText="1" readingOrder="1"/>
    </xf>
    <xf numFmtId="0" fontId="6" fillId="12" borderId="5" xfId="0" applyFont="1" applyFill="1" applyBorder="1" applyAlignment="1">
      <alignment horizontal="center" vertical="center" wrapText="1" readingOrder="1"/>
    </xf>
    <xf numFmtId="0" fontId="6" fillId="2" borderId="4" xfId="0" applyFont="1" applyFill="1" applyBorder="1" applyAlignment="1">
      <alignment horizontal="center" vertical="center" wrapText="1" readingOrder="1"/>
    </xf>
    <xf numFmtId="0" fontId="6" fillId="2" borderId="6" xfId="0" applyFont="1" applyFill="1" applyBorder="1" applyAlignment="1">
      <alignment horizontal="center" vertical="center" wrapText="1" readingOrder="1"/>
    </xf>
    <xf numFmtId="0" fontId="6" fillId="2" borderId="5" xfId="0" applyFont="1" applyFill="1" applyBorder="1" applyAlignment="1">
      <alignment horizontal="center" vertical="center" wrapText="1" readingOrder="1"/>
    </xf>
    <xf numFmtId="0" fontId="4" fillId="4" borderId="1" xfId="0" applyFont="1" applyFill="1" applyBorder="1" applyAlignment="1">
      <alignment horizontal="left" vertical="center" wrapText="1"/>
    </xf>
    <xf numFmtId="0" fontId="4" fillId="6" borderId="1" xfId="0" applyFont="1" applyFill="1" applyBorder="1" applyAlignment="1">
      <alignment horizontal="left" vertical="center"/>
    </xf>
    <xf numFmtId="0" fontId="2" fillId="5" borderId="1" xfId="0" applyFont="1" applyFill="1" applyBorder="1" applyAlignment="1">
      <alignment vertical="center" wrapText="1"/>
    </xf>
    <xf numFmtId="0" fontId="4" fillId="4" borderId="1" xfId="0" applyFont="1" applyFill="1" applyBorder="1" applyAlignment="1">
      <alignment horizontal="left" vertical="center"/>
    </xf>
    <xf numFmtId="0" fontId="14" fillId="5" borderId="1" xfId="3" applyFill="1" applyBorder="1" applyAlignment="1" applyProtection="1">
      <alignment vertical="center" wrapText="1"/>
    </xf>
    <xf numFmtId="0" fontId="45" fillId="15" borderId="30"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38" xfId="0" applyBorder="1" applyAlignment="1">
      <alignment horizontal="center" vertical="center" wrapText="1"/>
    </xf>
    <xf numFmtId="0" fontId="45" fillId="15" borderId="43" xfId="0" applyFont="1" applyFill="1" applyBorder="1" applyAlignment="1">
      <alignment vertical="center" wrapText="1"/>
    </xf>
    <xf numFmtId="0" fontId="0" fillId="0" borderId="24" xfId="0" applyBorder="1" applyAlignment="1">
      <alignment vertical="center" wrapText="1"/>
    </xf>
    <xf numFmtId="0" fontId="0" fillId="0" borderId="42" xfId="0" applyBorder="1" applyAlignment="1">
      <alignment vertical="center" wrapText="1"/>
    </xf>
    <xf numFmtId="0" fontId="46" fillId="0" borderId="40" xfId="0" applyFont="1" applyFill="1" applyBorder="1" applyAlignment="1">
      <alignment vertical="center" wrapText="1"/>
    </xf>
    <xf numFmtId="0" fontId="0" fillId="0" borderId="24" xfId="0" applyFill="1" applyBorder="1" applyAlignment="1">
      <alignment vertical="center" wrapText="1"/>
    </xf>
    <xf numFmtId="0" fontId="0" fillId="0" borderId="42" xfId="0" applyFill="1" applyBorder="1" applyAlignment="1">
      <alignment vertical="center" wrapText="1"/>
    </xf>
    <xf numFmtId="0" fontId="46" fillId="0" borderId="30" xfId="0" applyFont="1" applyFill="1" applyBorder="1" applyAlignment="1">
      <alignment vertical="center" wrapText="1"/>
    </xf>
    <xf numFmtId="0" fontId="0" fillId="0" borderId="41" xfId="0" applyFill="1" applyBorder="1" applyAlignment="1">
      <alignment vertical="center" wrapText="1"/>
    </xf>
    <xf numFmtId="0" fontId="0" fillId="0" borderId="38" xfId="0" applyFill="1" applyBorder="1" applyAlignment="1">
      <alignment vertical="center" wrapText="1"/>
    </xf>
    <xf numFmtId="0" fontId="44" fillId="9" borderId="16" xfId="0" applyFont="1" applyFill="1" applyBorder="1" applyAlignment="1">
      <alignment vertical="center" wrapText="1"/>
    </xf>
    <xf numFmtId="0" fontId="44" fillId="9" borderId="17" xfId="0" applyFont="1" applyFill="1" applyBorder="1" applyAlignment="1">
      <alignment vertical="center" wrapText="1"/>
    </xf>
    <xf numFmtId="0" fontId="45" fillId="14" borderId="8" xfId="0" applyFont="1" applyFill="1" applyBorder="1" applyAlignment="1">
      <alignment horizontal="justify" vertical="center" wrapText="1"/>
    </xf>
    <xf numFmtId="0" fontId="45" fillId="14" borderId="12" xfId="0" applyFont="1" applyFill="1" applyBorder="1" applyAlignment="1">
      <alignment horizontal="justify" vertical="center" wrapText="1"/>
    </xf>
    <xf numFmtId="0" fontId="0" fillId="0" borderId="9" xfId="0" applyBorder="1" applyAlignment="1"/>
    <xf numFmtId="0" fontId="45" fillId="15" borderId="20" xfId="0" applyFont="1" applyFill="1" applyBorder="1" applyAlignment="1">
      <alignment horizontal="center" vertical="center" wrapText="1"/>
    </xf>
    <xf numFmtId="0" fontId="45" fillId="15" borderId="26" xfId="0" applyFont="1" applyFill="1" applyBorder="1" applyAlignment="1">
      <alignment horizontal="center" vertical="center" wrapText="1"/>
    </xf>
    <xf numFmtId="0" fontId="0" fillId="0" borderId="26" xfId="0" applyBorder="1" applyAlignment="1">
      <alignment horizontal="center" vertical="center" wrapText="1"/>
    </xf>
    <xf numFmtId="0" fontId="45" fillId="15" borderId="29" xfId="0" applyFont="1" applyFill="1" applyBorder="1" applyAlignment="1">
      <alignment vertical="center" wrapText="1"/>
    </xf>
    <xf numFmtId="0" fontId="45" fillId="15" borderId="33" xfId="0" applyFont="1" applyFill="1" applyBorder="1" applyAlignment="1">
      <alignment vertical="center" wrapText="1"/>
    </xf>
    <xf numFmtId="0" fontId="0" fillId="0" borderId="33" xfId="0" applyBorder="1" applyAlignment="1">
      <alignment vertical="center" wrapText="1"/>
    </xf>
    <xf numFmtId="0" fontId="44" fillId="0" borderId="30" xfId="0" applyFont="1" applyFill="1" applyBorder="1" applyAlignment="1">
      <alignment vertical="center" wrapText="1"/>
    </xf>
    <xf numFmtId="0" fontId="0" fillId="0" borderId="44" xfId="0" applyFill="1" applyBorder="1" applyAlignment="1">
      <alignment vertical="center" wrapText="1"/>
    </xf>
    <xf numFmtId="3" fontId="44" fillId="0" borderId="45" xfId="0" applyNumberFormat="1" applyFont="1" applyFill="1" applyBorder="1" applyAlignment="1">
      <alignment vertical="center" wrapText="1"/>
    </xf>
    <xf numFmtId="0" fontId="5" fillId="0" borderId="41" xfId="0" applyFont="1" applyFill="1" applyBorder="1" applyAlignment="1">
      <alignment vertical="center" wrapText="1"/>
    </xf>
    <xf numFmtId="0" fontId="5" fillId="0" borderId="44" xfId="0" applyFont="1" applyFill="1" applyBorder="1" applyAlignment="1">
      <alignment vertical="center" wrapText="1"/>
    </xf>
    <xf numFmtId="0" fontId="14" fillId="9" borderId="16" xfId="3" applyFill="1" applyBorder="1" applyAlignment="1" applyProtection="1">
      <alignment horizontal="center" vertical="center" wrapText="1"/>
    </xf>
    <xf numFmtId="0" fontId="44" fillId="9" borderId="17" xfId="0" applyFont="1" applyFill="1" applyBorder="1" applyAlignment="1">
      <alignment horizontal="center" vertical="center" wrapText="1"/>
    </xf>
    <xf numFmtId="0" fontId="45" fillId="14" borderId="16" xfId="0" applyFont="1" applyFill="1" applyBorder="1" applyAlignment="1">
      <alignment horizontal="justify" vertical="center" wrapText="1"/>
    </xf>
    <xf numFmtId="0" fontId="45" fillId="14" borderId="36" xfId="0" applyFont="1" applyFill="1" applyBorder="1" applyAlignment="1">
      <alignment horizontal="justify" vertical="center" wrapText="1"/>
    </xf>
    <xf numFmtId="0" fontId="45" fillId="14" borderId="22" xfId="0" applyFont="1" applyFill="1" applyBorder="1" applyAlignment="1">
      <alignment horizontal="justify" vertical="center" wrapText="1"/>
    </xf>
    <xf numFmtId="0" fontId="48" fillId="6" borderId="12" xfId="0" applyFont="1" applyFill="1" applyBorder="1" applyAlignment="1">
      <alignment horizontal="center"/>
    </xf>
    <xf numFmtId="0" fontId="48" fillId="6" borderId="9" xfId="0" applyFont="1" applyFill="1" applyBorder="1" applyAlignment="1">
      <alignment horizontal="center"/>
    </xf>
    <xf numFmtId="0" fontId="44" fillId="0" borderId="23"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9" borderId="16"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19" xfId="0"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9" borderId="17" xfId="0" applyNumberFormat="1" applyFont="1" applyFill="1" applyBorder="1" applyAlignment="1">
      <alignment horizontal="center" vertical="center" wrapText="1"/>
    </xf>
  </cellXfs>
  <cellStyles count="4">
    <cellStyle name="Hiperłącze" xfId="3" builtinId="8"/>
    <cellStyle name="Kolumna" xfId="2" xr:uid="{00000000-0005-0000-0000-000001000000}"/>
    <cellStyle name="Normalny" xfId="0" builtinId="0"/>
    <cellStyle name="Normalny 2" xfId="1" xr:uid="{00000000-0005-0000-0000-000003000000}"/>
  </cellStyles>
  <dxfs count="67">
    <dxf>
      <fill>
        <patternFill>
          <bgColor theme="1" tint="0.499984740745262"/>
        </patternFill>
      </fill>
    </dxf>
    <dxf>
      <font>
        <color theme="0"/>
      </font>
      <fill>
        <patternFill patternType="none">
          <bgColor auto="1"/>
        </patternFill>
      </fill>
    </dxf>
    <dxf>
      <font>
        <color theme="0"/>
      </font>
      <fill>
        <patternFill patternType="none">
          <bgColor auto="1"/>
        </patternFill>
      </fill>
    </dxf>
    <dxf>
      <fill>
        <patternFill>
          <bgColor theme="0" tint="-0.499984740745262"/>
        </patternFill>
      </fill>
    </dxf>
    <dxf>
      <font>
        <color theme="0"/>
      </font>
      <fill>
        <patternFill patternType="none">
          <bgColor auto="1"/>
        </patternFill>
      </fill>
    </dxf>
    <dxf>
      <font>
        <color theme="0"/>
      </font>
    </dxf>
    <dxf>
      <font>
        <color theme="0"/>
      </font>
    </dxf>
    <dxf>
      <font>
        <color theme="0"/>
      </font>
    </dxf>
    <dxf>
      <font>
        <color theme="0"/>
      </font>
    </dxf>
    <dxf>
      <font>
        <color theme="0"/>
      </font>
    </dxf>
    <dxf>
      <font>
        <color theme="2" tint="-0.24994659260841701"/>
      </font>
    </dxf>
    <dxf>
      <font>
        <color theme="2" tint="-0.24994659260841701"/>
      </font>
    </dxf>
    <dxf>
      <font>
        <color theme="2" tint="-0.24994659260841701"/>
      </font>
    </dxf>
    <dxf>
      <font>
        <color theme="2" tint="-0.24994659260841701"/>
      </font>
    </dxf>
    <dxf>
      <font>
        <b val="0"/>
        <i val="0"/>
        <strike val="0"/>
        <condense val="0"/>
        <extend val="0"/>
        <outline val="0"/>
        <shadow val="0"/>
        <u val="none"/>
        <vertAlign val="baseline"/>
        <sz val="9"/>
        <color theme="1"/>
        <name val="Calibri"/>
        <scheme val="none"/>
      </font>
      <numFmt numFmtId="168" formatCode="#,##0.00000"/>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Calibri"/>
        <scheme val="none"/>
      </font>
      <numFmt numFmtId="165" formatCode="#,##0.0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none"/>
      </font>
      <numFmt numFmtId="165" formatCode="#,##0.0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none"/>
      </font>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none"/>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Calibri"/>
        <scheme val="none"/>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Calibri"/>
        <scheme val="none"/>
      </font>
      <numFmt numFmtId="3" formatCode="#,##0"/>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Calibri"/>
        <scheme val="none"/>
      </font>
      <numFmt numFmtId="3" formatCode="#,##0"/>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Calibri"/>
        <scheme val="none"/>
      </font>
      <numFmt numFmtId="3" formatCode="#,##0"/>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Calibri"/>
        <scheme val="none"/>
      </font>
      <numFmt numFmtId="3" formatCode="#,##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none"/>
      </font>
      <numFmt numFmtId="3" formatCode="#,##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none"/>
      </font>
      <numFmt numFmtId="3" formatCode="#,##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none"/>
      </font>
      <numFmt numFmtId="3" formatCode="#,##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none"/>
      </font>
      <numFmt numFmtId="3" formatCode="#,##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none"/>
      </font>
      <numFmt numFmtId="3" formatCode="#,##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none"/>
      </font>
      <numFmt numFmtId="3" formatCode="#,##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9"/>
        <color auto="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Calibri"/>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9"/>
        <color auto="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Calibri"/>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9"/>
        <color auto="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Calibri"/>
        <scheme val="none"/>
      </font>
      <alignment horizontal="general" vertical="center" textRotation="0" wrapText="0" indent="0" justifyLastLine="0" shrinkToFit="0" readingOrder="0"/>
    </dxf>
    <dxf>
      <border outline="0">
        <right style="thin">
          <color indexed="64"/>
        </right>
        <top style="thin">
          <color indexed="64"/>
        </top>
      </border>
    </dxf>
    <dxf>
      <font>
        <b val="0"/>
        <i val="0"/>
        <strike val="0"/>
        <condense val="0"/>
        <extend val="0"/>
        <outline val="0"/>
        <shadow val="0"/>
        <u val="none"/>
        <vertAlign val="baseline"/>
        <sz val="9"/>
        <color theme="1"/>
        <name val="Calibri"/>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9"/>
        <color auto="1"/>
        <name val="Calibri"/>
        <scheme val="none"/>
      </font>
      <fill>
        <patternFill patternType="solid">
          <fgColor indexed="64"/>
          <bgColor rgb="FFFFFF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Calibri"/>
        <scheme val="none"/>
      </font>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Calibri"/>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9"/>
        <color auto="1"/>
        <name val="Calibri"/>
        <scheme val="none"/>
      </font>
      <fill>
        <patternFill patternType="solid">
          <fgColor indexed="64"/>
          <bgColor theme="2"/>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Calibri"/>
        <scheme val="none"/>
      </font>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Calibri"/>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9"/>
        <color auto="1"/>
        <name val="Calibri"/>
        <scheme val="none"/>
      </font>
      <fill>
        <patternFill patternType="solid">
          <fgColor indexed="64"/>
          <bgColor theme="9"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Calibri"/>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9"/>
        <color auto="1"/>
        <name val="Calibri"/>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9"/>
        <color auto="1"/>
        <name val="Calibri"/>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9"/>
        <color auto="1"/>
        <name val="Calibri"/>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9"/>
        <color auto="1"/>
        <name val="Calibri"/>
        <scheme val="none"/>
      </font>
      <numFmt numFmtId="30" formatCode="@"/>
      <alignment horizontal="general" vertical="center"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9"/>
        <color auto="1"/>
        <name val="Calibri"/>
        <scheme val="none"/>
      </font>
      <fill>
        <patternFill patternType="solid">
          <fgColor indexed="64"/>
          <bgColor theme="9"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D6E1EE"/>
      <color rgb="FFFFFFCC"/>
      <color rgb="FFFFFF99"/>
      <color rgb="FFFF9900"/>
      <color rgb="FF006600"/>
      <color rgb="FF0000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1</xdr:col>
          <xdr:colOff>1190625</xdr:colOff>
          <xdr:row>4</xdr:row>
          <xdr:rowOff>276225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 PA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180975</xdr:rowOff>
        </xdr:from>
        <xdr:to>
          <xdr:col>1</xdr:col>
          <xdr:colOff>990600</xdr:colOff>
          <xdr:row>4</xdr:row>
          <xdr:rowOff>581025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 PD/PDC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514350</xdr:rowOff>
        </xdr:from>
        <xdr:to>
          <xdr:col>1</xdr:col>
          <xdr:colOff>1038225</xdr:colOff>
          <xdr:row>4</xdr:row>
          <xdr:rowOff>742950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 obydwa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752475</xdr:rowOff>
        </xdr:from>
        <xdr:to>
          <xdr:col>1</xdr:col>
          <xdr:colOff>1038225</xdr:colOff>
          <xdr:row>4</xdr:row>
          <xdr:rowOff>962025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0</xdr:rowOff>
        </xdr:from>
        <xdr:to>
          <xdr:col>1</xdr:col>
          <xdr:colOff>1009650</xdr:colOff>
          <xdr:row>8</xdr:row>
          <xdr:rowOff>209550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8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209550</xdr:rowOff>
        </xdr:from>
        <xdr:to>
          <xdr:col>1</xdr:col>
          <xdr:colOff>1123950</xdr:colOff>
          <xdr:row>8</xdr:row>
          <xdr:rowOff>457200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8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47625</xdr:rowOff>
        </xdr:from>
        <xdr:to>
          <xdr:col>1</xdr:col>
          <xdr:colOff>1009650</xdr:colOff>
          <xdr:row>12</xdr:row>
          <xdr:rowOff>314325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8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285750</xdr:rowOff>
        </xdr:from>
        <xdr:to>
          <xdr:col>1</xdr:col>
          <xdr:colOff>1009650</xdr:colOff>
          <xdr:row>12</xdr:row>
          <xdr:rowOff>542925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8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466725</xdr:rowOff>
        </xdr:from>
        <xdr:to>
          <xdr:col>1</xdr:col>
          <xdr:colOff>1009650</xdr:colOff>
          <xdr:row>12</xdr:row>
          <xdr:rowOff>752475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8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666750</xdr:rowOff>
        </xdr:from>
        <xdr:to>
          <xdr:col>1</xdr:col>
          <xdr:colOff>1009650</xdr:colOff>
          <xdr:row>12</xdr:row>
          <xdr:rowOff>962025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8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Telewizja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895350</xdr:rowOff>
        </xdr:from>
        <xdr:to>
          <xdr:col>1</xdr:col>
          <xdr:colOff>1009650</xdr:colOff>
          <xdr:row>12</xdr:row>
          <xdr:rowOff>1181100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8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1104900</xdr:rowOff>
        </xdr:from>
        <xdr:to>
          <xdr:col>1</xdr:col>
          <xdr:colOff>1009650</xdr:colOff>
          <xdr:row>12</xdr:row>
          <xdr:rowOff>1381125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8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ochno/Ustawienia%20lokalne/Temporary%20Internet%20Files/Content.Outlook/1MNEXO3H/POP%20Sl&#261;sk2014/Formularze%20do%20inwentaryzacji%20emisji%20ze%20&#378;r&#243;de&#322;%20naturalnych%20i%20rolnictw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y"/>
      <sheetName val="Arkusz1"/>
    </sheetNames>
    <sheetDataSet>
      <sheetData sheetId="0">
        <row r="1">
          <cell r="A1" t="str">
            <v>liściasty</v>
          </cell>
        </row>
        <row r="2">
          <cell r="A2" t="str">
            <v>iglasty</v>
          </cell>
        </row>
      </sheetData>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owiaty_26" displayName="powiaty_26" ref="A2:F16" totalsRowShown="0" headerRowDxfId="66" headerRowBorderDxfId="65" tableBorderDxfId="64">
  <autoFilter ref="A2:F16" xr:uid="{00000000-0009-0000-0100-000001000000}"/>
  <tableColumns count="6">
    <tableColumn id="1" xr3:uid="{00000000-0010-0000-0000-000001000000}" name="kod powiatu" dataDxfId="63" dataCellStyle="Normalny 2"/>
    <tableColumn id="2" xr3:uid="{00000000-0010-0000-0000-000002000000}" name="powiat" dataDxfId="62" dataCellStyle="Normalny 2"/>
    <tableColumn id="6" xr3:uid="{00000000-0010-0000-0000-000006000000}" name="kod powiatu2" dataDxfId="61" dataCellStyle="Normalny 2">
      <calculatedColumnFormula>powiaty_26[[#This Row],[kod powiatu]]</calculatedColumnFormula>
    </tableColumn>
    <tableColumn id="4" xr3:uid="{00000000-0010-0000-0000-000004000000}" name="kod strefy" dataDxfId="60" dataCellStyle="Normalny 2"/>
    <tableColumn id="5" xr3:uid="{00000000-0010-0000-0000-000005000000}" name="nazwa strefy" dataDxfId="59" dataCellStyle="Normalny 2">
      <calculatedColumnFormula>VLOOKUP(powiaty_26[[#This Row],[kod strefy]],strefy_26[],2,FALSE)</calculatedColumnFormula>
    </tableColumn>
    <tableColumn id="3" xr3:uid="{00000000-0010-0000-0000-000003000000}" name="województwo" dataDxfId="58"/>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trefy_26" displayName="strefy_26" ref="H2:K4" totalsRowShown="0" headerRowDxfId="57" dataDxfId="55" headerRowBorderDxfId="56" tableBorderDxfId="54">
  <autoFilter ref="H2:K4" xr:uid="{00000000-0009-0000-0100-000002000000}"/>
  <tableColumns count="4">
    <tableColumn id="1" xr3:uid="{00000000-0010-0000-0100-000001000000}" name="kod strefy" dataDxfId="53"/>
    <tableColumn id="2" xr3:uid="{00000000-0010-0000-0100-000002000000}" name="nazwa strefy" dataDxfId="52"/>
    <tableColumn id="3" xr3:uid="{00000000-0010-0000-0100-000003000000}" name="województo" dataDxfId="51"/>
    <tableColumn id="4" xr3:uid="{00000000-0010-0000-0100-000004000000}" name="do tabel sprawozdawczych" dataDxfId="50">
      <calculatedColumnFormula>CONCATENATE(I3," ",H3)</calculatedColumnFormula>
    </tableColumn>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kat_zadania" displayName="kat_zadania" ref="M2:N10" totalsRowShown="0" headerRowDxfId="49" dataDxfId="47" headerRowBorderDxfId="48" tableBorderDxfId="46">
  <autoFilter ref="M2:N10" xr:uid="{00000000-0009-0000-0100-000004000000}"/>
  <tableColumns count="2">
    <tableColumn id="1" xr3:uid="{00000000-0010-0000-0200-000001000000}" name="kod zadania" dataDxfId="45"/>
    <tableColumn id="2" xr3:uid="{00000000-0010-0000-0200-000002000000}" name="nazwa zadania" dataDxfId="44"/>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gminy_26" displayName="gminy_26" ref="A3:Q105" totalsRowShown="0" headerRowDxfId="43" dataDxfId="41" headerRowBorderDxfId="42" tableBorderDxfId="40">
  <autoFilter ref="A3:Q105" xr:uid="{00000000-0009-0000-0100-000003000000}">
    <filterColumn colId="4">
      <filters>
        <filter val="kielecki"/>
      </filters>
    </filterColumn>
  </autoFilter>
  <tableColumns count="17">
    <tableColumn id="1" xr3:uid="{00000000-0010-0000-0300-000001000000}" name="kod gminy" dataDxfId="39"/>
    <tableColumn id="2" xr3:uid="{00000000-0010-0000-0300-000002000000}" name="nazwa gminy" dataDxfId="38"/>
    <tableColumn id="15" xr3:uid="{00000000-0010-0000-0300-00000F000000}" name="kod gminy2" dataDxfId="37">
      <calculatedColumnFormula>gminy_26[[#This Row],[kod gminy]]</calculatedColumnFormula>
    </tableColumn>
    <tableColumn id="3" xr3:uid="{00000000-0010-0000-0300-000003000000}" name="kod powiatu" dataDxfId="36"/>
    <tableColumn id="4" xr3:uid="{00000000-0010-0000-0300-000004000000}" name="nazwa powiatu" dataDxfId="35">
      <calculatedColumnFormula>VLOOKUP(gminy_26[[#This Row],[kod powiatu]],powiaty_26[],katalogi!$B$1,FALSE)</calculatedColumnFormula>
    </tableColumn>
    <tableColumn id="5" xr3:uid="{00000000-0010-0000-0300-000005000000}" name="kod strefy" dataDxfId="34"/>
    <tableColumn id="6" xr3:uid="{00000000-0010-0000-0300-000006000000}" name="nazwa strefy" dataDxfId="33">
      <calculatedColumnFormula>VLOOKUP(gminy_26[[#This Row],[kod strefy]],strefy_26[],2,FALSE)</calculatedColumnFormula>
    </tableColumn>
    <tableColumn id="7" xr3:uid="{00000000-0010-0000-0300-000007000000}" name="ogółem" dataDxfId="32"/>
    <tableColumn id="8" xr3:uid="{00000000-0010-0000-0300-000008000000}" name="2020" dataDxfId="31"/>
    <tableColumn id="9" xr3:uid="{00000000-0010-0000-0300-000009000000}" name="2021" dataDxfId="30"/>
    <tableColumn id="10" xr3:uid="{00000000-0010-0000-0300-00000A000000}" name="2022" dataDxfId="29"/>
    <tableColumn id="11" xr3:uid="{00000000-0010-0000-0300-00000B000000}" name="2023" dataDxfId="28"/>
    <tableColumn id="12" xr3:uid="{00000000-0010-0000-0300-00000C000000}" name="2024" dataDxfId="27"/>
    <tableColumn id="13" xr3:uid="{00000000-0010-0000-0300-00000D000000}" name="2025" dataDxfId="26"/>
    <tableColumn id="16" xr3:uid="{00000000-0010-0000-0300-000010000000}" name="2026" dataDxfId="25"/>
    <tableColumn id="17" xr3:uid="{00000000-0010-0000-0300-000011000000}" name="EE" dataDxfId="24"/>
    <tableColumn id="14" xr3:uid="{00000000-0010-0000-0300-00000E000000}" name="KPP" dataDxfId="23"/>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kat_wsk_efektu" displayName="kat_wsk_efektu" ref="A4:E16" totalsRowShown="0" headerRowDxfId="22" headerRowBorderDxfId="21" tableBorderDxfId="20" totalsRowBorderDxfId="19">
  <autoFilter ref="A4:E16" xr:uid="{00000000-0009-0000-0100-000005000000}"/>
  <tableColumns count="5">
    <tableColumn id="1" xr3:uid="{00000000-0010-0000-0400-000001000000}" name="kod_efektu" dataDxfId="18"/>
    <tableColumn id="2" xr3:uid="{00000000-0010-0000-0400-000002000000}" name="opis" dataDxfId="17"/>
    <tableColumn id="3" xr3:uid="{00000000-0010-0000-0400-000003000000}" name="PM10" dataDxfId="16"/>
    <tableColumn id="4" xr3:uid="{00000000-0010-0000-0400-000004000000}" name="PM2,5" dataDxfId="15"/>
    <tableColumn id="5" xr3:uid="{00000000-0010-0000-0400-000005000000}" name="BaP" dataDxfId="14"/>
  </tableColumns>
  <tableStyleInfo name="TableStyleLight21" showFirstColumn="0" showLastColumn="0" showRowStripes="1" showColumnStripes="0"/>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hyperlink" Target="https://gorno.biuletyn.net/" TargetMode="External"/><Relationship Id="rId1" Type="http://schemas.openxmlformats.org/officeDocument/2006/relationships/hyperlink" Target="mailto:jsodel@gorno.pl"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sodel@gorno.p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6.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gorno.biuletyn.net/?bip=1&amp;cid=1538" TargetMode="External"/><Relationship Id="rId16" Type="http://schemas.openxmlformats.org/officeDocument/2006/relationships/ctrlProp" Target="../ctrlProps/ctrlProp11.xml"/><Relationship Id="rId1" Type="http://schemas.openxmlformats.org/officeDocument/2006/relationships/hyperlink" Target="https://czkw.kielce.uw.gov.pl/czk/aktualnosci-i-komunikat/komunikaty-kryzysowe/25617,Powiadomienie-o-ryzyku-wystapienia-przekroczenia-poziomu-informowania-dla-pylu-z.html"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0" tint="-0.499984740745262"/>
  </sheetPr>
  <dimension ref="A1:O16"/>
  <sheetViews>
    <sheetView workbookViewId="0">
      <pane ySplit="11" topLeftCell="A12" activePane="bottomLeft" state="frozen"/>
      <selection pane="bottomLeft" activeCell="B32" sqref="B32"/>
    </sheetView>
  </sheetViews>
  <sheetFormatPr defaultColWidth="9.140625" defaultRowHeight="12" x14ac:dyDescent="0.2"/>
  <cols>
    <col min="1" max="1" width="11.5703125" style="1" customWidth="1"/>
    <col min="2" max="2" width="14.7109375" style="1" customWidth="1"/>
    <col min="3" max="3" width="14.5703125" style="1" bestFit="1" customWidth="1"/>
    <col min="4" max="4" width="10.140625" style="1" customWidth="1"/>
    <col min="5" max="5" width="14.7109375" style="1" bestFit="1" customWidth="1"/>
    <col min="6" max="6" width="15.42578125" style="1" bestFit="1" customWidth="1"/>
    <col min="7" max="7" width="3.7109375" style="1" customWidth="1"/>
    <col min="8" max="8" width="9.7109375" style="1" customWidth="1"/>
    <col min="9" max="9" width="27.28515625" style="1" bestFit="1" customWidth="1"/>
    <col min="10" max="10" width="13.7109375" style="1" bestFit="1" customWidth="1"/>
    <col min="11" max="11" width="32.85546875" style="1" bestFit="1" customWidth="1"/>
    <col min="12" max="12" width="3.7109375" style="1" customWidth="1"/>
    <col min="13" max="13" width="11" style="1" customWidth="1"/>
    <col min="14" max="14" width="111.85546875" style="1" bestFit="1" customWidth="1"/>
    <col min="15" max="16384" width="9.140625" style="1"/>
  </cols>
  <sheetData>
    <row r="1" spans="1:15" x14ac:dyDescent="0.2">
      <c r="A1" s="36">
        <v>1</v>
      </c>
      <c r="B1" s="36">
        <f>A1+1</f>
        <v>2</v>
      </c>
      <c r="C1" s="36">
        <f t="shared" ref="C1:D1" si="0">B1+1</f>
        <v>3</v>
      </c>
      <c r="D1" s="36">
        <f t="shared" si="0"/>
        <v>4</v>
      </c>
      <c r="E1" s="36">
        <f t="shared" ref="E1:F1" si="1">D1+1</f>
        <v>5</v>
      </c>
      <c r="F1" s="36">
        <f t="shared" si="1"/>
        <v>6</v>
      </c>
      <c r="G1" s="36">
        <f t="shared" ref="G1:K1" si="2">F1+1</f>
        <v>7</v>
      </c>
      <c r="H1" s="36">
        <f t="shared" si="2"/>
        <v>8</v>
      </c>
      <c r="I1" s="36">
        <f t="shared" si="2"/>
        <v>9</v>
      </c>
      <c r="J1" s="36">
        <f t="shared" si="2"/>
        <v>10</v>
      </c>
      <c r="K1" s="36">
        <f t="shared" si="2"/>
        <v>11</v>
      </c>
      <c r="L1" s="36">
        <f t="shared" ref="L1" si="3">K1+1</f>
        <v>12</v>
      </c>
      <c r="M1" s="36">
        <f t="shared" ref="M1" si="4">L1+1</f>
        <v>13</v>
      </c>
      <c r="N1" s="36">
        <f t="shared" ref="N1" si="5">M1+1</f>
        <v>14</v>
      </c>
      <c r="O1" s="36">
        <f t="shared" ref="O1" si="6">N1+1</f>
        <v>15</v>
      </c>
    </row>
    <row r="2" spans="1:15" x14ac:dyDescent="0.2">
      <c r="A2" s="37" t="s">
        <v>300</v>
      </c>
      <c r="B2" s="37" t="s">
        <v>0</v>
      </c>
      <c r="C2" s="37" t="s">
        <v>315</v>
      </c>
      <c r="D2" s="37" t="s">
        <v>2</v>
      </c>
      <c r="E2" s="37" t="s">
        <v>3</v>
      </c>
      <c r="F2" s="37" t="s">
        <v>1</v>
      </c>
      <c r="H2" s="37" t="s">
        <v>2</v>
      </c>
      <c r="I2" s="37" t="s">
        <v>3</v>
      </c>
      <c r="J2" s="37" t="s">
        <v>4</v>
      </c>
      <c r="K2" s="37" t="s">
        <v>11</v>
      </c>
      <c r="M2" s="39" t="s">
        <v>17</v>
      </c>
      <c r="N2" s="39" t="s">
        <v>320</v>
      </c>
    </row>
    <row r="3" spans="1:15" x14ac:dyDescent="0.2">
      <c r="A3" s="6" t="s">
        <v>62</v>
      </c>
      <c r="B3" s="5" t="s">
        <v>76</v>
      </c>
      <c r="C3" s="5" t="str">
        <f>powiaty_26[[#This Row],[kod powiatu]]</f>
        <v>2601</v>
      </c>
      <c r="D3" s="5" t="s">
        <v>60</v>
      </c>
      <c r="E3" s="5" t="str">
        <f>VLOOKUP(powiaty_26[[#This Row],[kod strefy]],strefy_26[],2,FALSE)</f>
        <v>strefa świętokrzyska</v>
      </c>
      <c r="F3" s="1" t="s">
        <v>56</v>
      </c>
      <c r="H3" s="4" t="s">
        <v>58</v>
      </c>
      <c r="I3" s="4" t="s">
        <v>59</v>
      </c>
      <c r="J3" s="2" t="s">
        <v>56</v>
      </c>
      <c r="K3" s="1" t="str">
        <f>CONCATENATE(I3," ",H3)</f>
        <v>miasto Kielce PL2601</v>
      </c>
      <c r="M3" s="1" t="s">
        <v>89</v>
      </c>
      <c r="N3" s="1" t="s">
        <v>24</v>
      </c>
    </row>
    <row r="4" spans="1:15" x14ac:dyDescent="0.2">
      <c r="A4" s="6" t="s">
        <v>63</v>
      </c>
      <c r="B4" s="5" t="s">
        <v>77</v>
      </c>
      <c r="C4" s="5" t="str">
        <f>powiaty_26[[#This Row],[kod powiatu]]</f>
        <v>2602</v>
      </c>
      <c r="D4" s="5" t="s">
        <v>60</v>
      </c>
      <c r="E4" s="5" t="str">
        <f>VLOOKUP(powiaty_26[[#This Row],[kod strefy]],strefy_26[],2,FALSE)</f>
        <v>strefa świętokrzyska</v>
      </c>
      <c r="F4" s="1" t="s">
        <v>56</v>
      </c>
      <c r="H4" s="4" t="s">
        <v>60</v>
      </c>
      <c r="I4" s="4" t="s">
        <v>61</v>
      </c>
      <c r="J4" s="2" t="s">
        <v>56</v>
      </c>
      <c r="K4" s="1" t="str">
        <f t="shared" ref="K4" si="7">CONCATENATE(I4," ",H4)</f>
        <v>strefa świętokrzyska PL2602</v>
      </c>
      <c r="M4" s="1" t="s">
        <v>91</v>
      </c>
      <c r="N4" s="1" t="s">
        <v>455</v>
      </c>
    </row>
    <row r="5" spans="1:15" x14ac:dyDescent="0.2">
      <c r="A5" s="6" t="s">
        <v>64</v>
      </c>
      <c r="B5" s="5" t="s">
        <v>78</v>
      </c>
      <c r="C5" s="5" t="str">
        <f>powiaty_26[[#This Row],[kod powiatu]]</f>
        <v>2603</v>
      </c>
      <c r="D5" s="5" t="s">
        <v>60</v>
      </c>
      <c r="E5" s="5" t="str">
        <f>VLOOKUP(powiaty_26[[#This Row],[kod strefy]],strefy_26[],2,FALSE)</f>
        <v>strefa świętokrzyska</v>
      </c>
      <c r="F5" s="1" t="s">
        <v>56</v>
      </c>
      <c r="H5" s="2"/>
      <c r="I5" s="2"/>
      <c r="J5" s="2"/>
      <c r="M5" s="1" t="s">
        <v>93</v>
      </c>
      <c r="N5" s="1" t="s">
        <v>97</v>
      </c>
    </row>
    <row r="6" spans="1:15" x14ac:dyDescent="0.2">
      <c r="A6" s="6" t="s">
        <v>65</v>
      </c>
      <c r="B6" s="5" t="s">
        <v>79</v>
      </c>
      <c r="C6" s="5" t="str">
        <f>powiaty_26[[#This Row],[kod powiatu]]</f>
        <v>2604</v>
      </c>
      <c r="D6" s="5" t="s">
        <v>60</v>
      </c>
      <c r="E6" s="5" t="str">
        <f>VLOOKUP(powiaty_26[[#This Row],[kod strefy]],strefy_26[],2,FALSE)</f>
        <v>strefa świętokrzyska</v>
      </c>
      <c r="F6" s="1" t="s">
        <v>56</v>
      </c>
      <c r="H6" s="2"/>
      <c r="I6" s="2"/>
      <c r="J6" s="2"/>
      <c r="M6" s="1" t="s">
        <v>95</v>
      </c>
      <c r="N6" s="1" t="s">
        <v>98</v>
      </c>
    </row>
    <row r="7" spans="1:15" x14ac:dyDescent="0.2">
      <c r="A7" s="6" t="s">
        <v>66</v>
      </c>
      <c r="B7" s="5" t="s">
        <v>80</v>
      </c>
      <c r="C7" s="5" t="str">
        <f>powiaty_26[[#This Row],[kod powiatu]]</f>
        <v>2605</v>
      </c>
      <c r="D7" s="5" t="s">
        <v>60</v>
      </c>
      <c r="E7" s="5" t="str">
        <f>VLOOKUP(powiaty_26[[#This Row],[kod strefy]],strefy_26[],2,FALSE)</f>
        <v>strefa świętokrzyska</v>
      </c>
      <c r="F7" s="1" t="s">
        <v>56</v>
      </c>
      <c r="H7" s="2"/>
      <c r="I7" s="2"/>
      <c r="J7" s="2"/>
      <c r="M7" s="1" t="s">
        <v>90</v>
      </c>
      <c r="N7" s="1" t="s">
        <v>24</v>
      </c>
    </row>
    <row r="8" spans="1:15" x14ac:dyDescent="0.2">
      <c r="A8" s="6" t="s">
        <v>67</v>
      </c>
      <c r="B8" s="5" t="s">
        <v>81</v>
      </c>
      <c r="C8" s="5" t="str">
        <f>powiaty_26[[#This Row],[kod powiatu]]</f>
        <v>2606</v>
      </c>
      <c r="D8" s="5" t="s">
        <v>60</v>
      </c>
      <c r="E8" s="5" t="str">
        <f>VLOOKUP(powiaty_26[[#This Row],[kod strefy]],strefy_26[],2,FALSE)</f>
        <v>strefa świętokrzyska</v>
      </c>
      <c r="F8" s="1" t="s">
        <v>56</v>
      </c>
      <c r="H8" s="4"/>
      <c r="I8" s="4"/>
      <c r="J8" s="2"/>
      <c r="M8" s="1" t="s">
        <v>92</v>
      </c>
      <c r="N8" s="1" t="s">
        <v>455</v>
      </c>
    </row>
    <row r="9" spans="1:15" x14ac:dyDescent="0.2">
      <c r="A9" s="6" t="s">
        <v>68</v>
      </c>
      <c r="B9" s="5" t="s">
        <v>82</v>
      </c>
      <c r="C9" s="5" t="str">
        <f>powiaty_26[[#This Row],[kod powiatu]]</f>
        <v>2607</v>
      </c>
      <c r="D9" s="5" t="s">
        <v>60</v>
      </c>
      <c r="E9" s="5" t="str">
        <f>VLOOKUP(powiaty_26[[#This Row],[kod strefy]],strefy_26[],2,FALSE)</f>
        <v>strefa świętokrzyska</v>
      </c>
      <c r="F9" s="1" t="s">
        <v>56</v>
      </c>
      <c r="H9" s="4"/>
      <c r="I9" s="4"/>
      <c r="J9" s="2"/>
      <c r="M9" s="1" t="s">
        <v>94</v>
      </c>
      <c r="N9" s="1" t="s">
        <v>97</v>
      </c>
    </row>
    <row r="10" spans="1:15" x14ac:dyDescent="0.2">
      <c r="A10" s="6" t="s">
        <v>69</v>
      </c>
      <c r="B10" s="5" t="s">
        <v>83</v>
      </c>
      <c r="C10" s="5" t="str">
        <f>powiaty_26[[#This Row],[kod powiatu]]</f>
        <v>2608</v>
      </c>
      <c r="D10" s="5" t="s">
        <v>60</v>
      </c>
      <c r="E10" s="5" t="str">
        <f>VLOOKUP(powiaty_26[[#This Row],[kod strefy]],strefy_26[],2,FALSE)</f>
        <v>strefa świętokrzyska</v>
      </c>
      <c r="F10" s="1" t="s">
        <v>56</v>
      </c>
      <c r="H10" s="4"/>
      <c r="I10" s="4"/>
      <c r="J10" s="2"/>
      <c r="M10" s="1" t="s">
        <v>96</v>
      </c>
      <c r="N10" s="1" t="s">
        <v>98</v>
      </c>
    </row>
    <row r="11" spans="1:15" x14ac:dyDescent="0.2">
      <c r="A11" s="6" t="s">
        <v>70</v>
      </c>
      <c r="B11" s="5" t="s">
        <v>84</v>
      </c>
      <c r="C11" s="5" t="str">
        <f>powiaty_26[[#This Row],[kod powiatu]]</f>
        <v>2609</v>
      </c>
      <c r="D11" s="5" t="s">
        <v>60</v>
      </c>
      <c r="E11" s="5" t="str">
        <f>VLOOKUP(powiaty_26[[#This Row],[kod strefy]],strefy_26[],2,FALSE)</f>
        <v>strefa świętokrzyska</v>
      </c>
      <c r="F11" s="1" t="s">
        <v>56</v>
      </c>
      <c r="H11" s="4"/>
      <c r="I11" s="4"/>
      <c r="J11" s="2"/>
    </row>
    <row r="12" spans="1:15" x14ac:dyDescent="0.2">
      <c r="A12" s="6" t="s">
        <v>71</v>
      </c>
      <c r="B12" s="5" t="s">
        <v>85</v>
      </c>
      <c r="C12" s="5" t="str">
        <f>powiaty_26[[#This Row],[kod powiatu]]</f>
        <v>2610</v>
      </c>
      <c r="D12" s="5" t="s">
        <v>60</v>
      </c>
      <c r="E12" s="5" t="str">
        <f>VLOOKUP(powiaty_26[[#This Row],[kod strefy]],strefy_26[],2,FALSE)</f>
        <v>strefa świętokrzyska</v>
      </c>
      <c r="F12" s="1" t="s">
        <v>56</v>
      </c>
      <c r="H12" s="4"/>
      <c r="I12" s="4"/>
      <c r="J12" s="2"/>
    </row>
    <row r="13" spans="1:15" x14ac:dyDescent="0.2">
      <c r="A13" s="6" t="s">
        <v>72</v>
      </c>
      <c r="B13" s="5" t="s">
        <v>86</v>
      </c>
      <c r="C13" s="5" t="str">
        <f>powiaty_26[[#This Row],[kod powiatu]]</f>
        <v>2611</v>
      </c>
      <c r="D13" s="5" t="s">
        <v>60</v>
      </c>
      <c r="E13" s="5" t="str">
        <f>VLOOKUP(powiaty_26[[#This Row],[kod strefy]],strefy_26[],2,FALSE)</f>
        <v>strefa świętokrzyska</v>
      </c>
      <c r="F13" s="1" t="s">
        <v>56</v>
      </c>
      <c r="H13" s="4"/>
      <c r="I13" s="4"/>
      <c r="J13" s="2"/>
    </row>
    <row r="14" spans="1:15" x14ac:dyDescent="0.2">
      <c r="A14" s="6" t="s">
        <v>73</v>
      </c>
      <c r="B14" s="5" t="s">
        <v>87</v>
      </c>
      <c r="C14" s="5" t="str">
        <f>powiaty_26[[#This Row],[kod powiatu]]</f>
        <v>2612</v>
      </c>
      <c r="D14" s="5" t="s">
        <v>60</v>
      </c>
      <c r="E14" s="5" t="str">
        <f>VLOOKUP(powiaty_26[[#This Row],[kod strefy]],strefy_26[],2,FALSE)</f>
        <v>strefa świętokrzyska</v>
      </c>
      <c r="F14" s="1" t="s">
        <v>56</v>
      </c>
      <c r="H14" s="4"/>
      <c r="I14" s="4"/>
      <c r="J14" s="2"/>
    </row>
    <row r="15" spans="1:15" x14ac:dyDescent="0.2">
      <c r="A15" s="6" t="s">
        <v>74</v>
      </c>
      <c r="B15" s="5" t="s">
        <v>88</v>
      </c>
      <c r="C15" s="5" t="str">
        <f>powiaty_26[[#This Row],[kod powiatu]]</f>
        <v>2613</v>
      </c>
      <c r="D15" s="5" t="s">
        <v>60</v>
      </c>
      <c r="E15" s="5" t="str">
        <f>VLOOKUP(powiaty_26[[#This Row],[kod strefy]],strefy_26[],2,FALSE)</f>
        <v>strefa świętokrzyska</v>
      </c>
      <c r="F15" s="1" t="s">
        <v>56</v>
      </c>
      <c r="H15" s="2"/>
      <c r="I15" s="2"/>
      <c r="J15" s="2"/>
    </row>
    <row r="16" spans="1:15" x14ac:dyDescent="0.2">
      <c r="A16" s="6" t="s">
        <v>75</v>
      </c>
      <c r="B16" s="5" t="s">
        <v>299</v>
      </c>
      <c r="C16" s="5" t="str">
        <f>powiaty_26[[#This Row],[kod powiatu]]</f>
        <v>2661</v>
      </c>
      <c r="D16" s="5" t="s">
        <v>58</v>
      </c>
      <c r="E16" s="5" t="str">
        <f>VLOOKUP(powiaty_26[[#This Row],[kod strefy]],strefy_26[],2,FALSE)</f>
        <v>miasto Kielce</v>
      </c>
      <c r="F16" s="1" t="s">
        <v>56</v>
      </c>
      <c r="H16" s="2"/>
      <c r="I16" s="2"/>
      <c r="J16" s="2"/>
    </row>
  </sheetData>
  <phoneticPr fontId="20" type="noConversion"/>
  <pageMargins left="0.7" right="0.7" top="0.75" bottom="0.75" header="0.3" footer="0.3"/>
  <tableParts count="3">
    <tablePart r:id="rId1"/>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91F73-AF43-4806-8D5E-4D474732FE98}">
  <dimension ref="A1:E51"/>
  <sheetViews>
    <sheetView tabSelected="1" topLeftCell="A31" workbookViewId="0">
      <selection activeCell="E53" sqref="E53"/>
    </sheetView>
  </sheetViews>
  <sheetFormatPr defaultRowHeight="12.75" x14ac:dyDescent="0.2"/>
  <cols>
    <col min="1" max="1" width="5" customWidth="1"/>
    <col min="2" max="2" width="32.7109375" customWidth="1"/>
    <col min="3" max="3" width="41.28515625" customWidth="1"/>
    <col min="4" max="4" width="41.5703125" customWidth="1"/>
    <col min="5" max="5" width="41.28515625" customWidth="1"/>
  </cols>
  <sheetData>
    <row r="1" spans="1:4" ht="26.25" customHeight="1" x14ac:dyDescent="0.2">
      <c r="A1" s="153" t="s">
        <v>549</v>
      </c>
      <c r="B1" s="154"/>
    </row>
    <row r="2" spans="1:4" ht="38.25" customHeight="1" x14ac:dyDescent="0.2">
      <c r="A2" s="131" t="s">
        <v>506</v>
      </c>
      <c r="B2" s="132"/>
    </row>
    <row r="3" spans="1:4" ht="16.5" thickBot="1" x14ac:dyDescent="0.25">
      <c r="A3" s="133"/>
    </row>
    <row r="4" spans="1:4" ht="47.25" customHeight="1" thickBot="1" x14ac:dyDescent="0.25">
      <c r="A4" s="267" t="s">
        <v>507</v>
      </c>
      <c r="B4" s="268"/>
      <c r="C4" s="268"/>
      <c r="D4" s="269"/>
    </row>
    <row r="5" spans="1:4" ht="16.5" thickBot="1" x14ac:dyDescent="0.3">
      <c r="A5" s="151" t="s">
        <v>7</v>
      </c>
      <c r="B5" s="152" t="s">
        <v>508</v>
      </c>
      <c r="C5" s="270" t="s">
        <v>513</v>
      </c>
      <c r="D5" s="271"/>
    </row>
    <row r="6" spans="1:4" ht="54" customHeight="1" thickBot="1" x14ac:dyDescent="0.25">
      <c r="A6" s="134">
        <v>1</v>
      </c>
      <c r="B6" s="135" t="s">
        <v>509</v>
      </c>
      <c r="C6" s="272">
        <v>2023</v>
      </c>
      <c r="D6" s="273"/>
    </row>
    <row r="7" spans="1:4" ht="16.5" thickBot="1" x14ac:dyDescent="0.25">
      <c r="A7" s="134">
        <v>2</v>
      </c>
      <c r="B7" s="135" t="s">
        <v>8</v>
      </c>
      <c r="C7" s="274" t="s">
        <v>56</v>
      </c>
      <c r="D7" s="275"/>
    </row>
    <row r="8" spans="1:4" ht="16.5" thickBot="1" x14ac:dyDescent="0.25">
      <c r="A8" s="134">
        <v>3</v>
      </c>
      <c r="B8" s="135" t="s">
        <v>522</v>
      </c>
      <c r="C8" s="274" t="s">
        <v>60</v>
      </c>
      <c r="D8" s="275"/>
    </row>
    <row r="9" spans="1:4" ht="40.5" customHeight="1" thickBot="1" x14ac:dyDescent="0.25">
      <c r="A9" s="134">
        <v>4</v>
      </c>
      <c r="B9" s="135" t="s">
        <v>553</v>
      </c>
      <c r="C9" s="274" t="s">
        <v>523</v>
      </c>
      <c r="D9" s="275"/>
    </row>
    <row r="10" spans="1:4" ht="63" customHeight="1" thickBot="1" x14ac:dyDescent="0.25">
      <c r="A10" s="134">
        <v>5</v>
      </c>
      <c r="B10" s="135" t="s">
        <v>510</v>
      </c>
      <c r="C10" s="265" t="s">
        <v>590</v>
      </c>
      <c r="D10" s="266"/>
    </row>
    <row r="11" spans="1:4" ht="38.25" customHeight="1" thickBot="1" x14ac:dyDescent="0.25">
      <c r="A11" s="134">
        <v>6</v>
      </c>
      <c r="B11" s="135" t="s">
        <v>554</v>
      </c>
      <c r="C11" s="276" t="s">
        <v>581</v>
      </c>
      <c r="D11" s="266"/>
    </row>
    <row r="12" spans="1:4" ht="49.5" customHeight="1" thickBot="1" x14ac:dyDescent="0.25">
      <c r="A12" s="134">
        <v>7</v>
      </c>
      <c r="B12" s="135" t="s">
        <v>555</v>
      </c>
      <c r="C12" s="277" t="s">
        <v>582</v>
      </c>
      <c r="D12" s="278"/>
    </row>
    <row r="13" spans="1:4" ht="77.25" customHeight="1" thickBot="1" x14ac:dyDescent="0.25">
      <c r="A13" s="134">
        <v>8</v>
      </c>
      <c r="B13" s="135" t="s">
        <v>556</v>
      </c>
      <c r="C13" s="276" t="s">
        <v>567</v>
      </c>
      <c r="D13" s="266"/>
    </row>
    <row r="14" spans="1:4" ht="79.5" customHeight="1" thickBot="1" x14ac:dyDescent="0.25">
      <c r="A14" s="134">
        <v>9</v>
      </c>
      <c r="B14" s="135" t="s">
        <v>557</v>
      </c>
      <c r="C14" s="279" t="s">
        <v>583</v>
      </c>
      <c r="D14" s="280"/>
    </row>
    <row r="15" spans="1:4" ht="109.5" customHeight="1" thickBot="1" x14ac:dyDescent="0.25">
      <c r="A15" s="134">
        <v>10</v>
      </c>
      <c r="B15" s="135" t="s">
        <v>558</v>
      </c>
      <c r="C15" s="265" t="s">
        <v>568</v>
      </c>
      <c r="D15" s="266"/>
    </row>
    <row r="16" spans="1:4" ht="16.5" thickBot="1" x14ac:dyDescent="0.25">
      <c r="A16" s="134">
        <v>11</v>
      </c>
      <c r="B16" s="135" t="s">
        <v>9</v>
      </c>
      <c r="C16" s="249" t="s">
        <v>580</v>
      </c>
      <c r="D16" s="250"/>
    </row>
    <row r="17" spans="1:5" ht="16.5" thickBot="1" x14ac:dyDescent="0.25">
      <c r="A17" s="144"/>
      <c r="B17" s="145"/>
      <c r="C17" s="146"/>
      <c r="D17" s="146"/>
      <c r="E17" s="138"/>
    </row>
    <row r="18" spans="1:5" ht="31.5" customHeight="1" thickBot="1" x14ac:dyDescent="0.25">
      <c r="A18" s="251" t="s">
        <v>511</v>
      </c>
      <c r="B18" s="252"/>
      <c r="C18" s="252"/>
      <c r="D18" s="252"/>
      <c r="E18" s="253"/>
    </row>
    <row r="19" spans="1:5" ht="30" customHeight="1" thickBot="1" x14ac:dyDescent="0.25">
      <c r="A19" s="140" t="s">
        <v>7</v>
      </c>
      <c r="B19" s="141" t="s">
        <v>10</v>
      </c>
      <c r="C19" s="143" t="s">
        <v>526</v>
      </c>
      <c r="D19" s="142" t="s">
        <v>527</v>
      </c>
      <c r="E19" s="143" t="s">
        <v>532</v>
      </c>
    </row>
    <row r="20" spans="1:5" ht="16.5" thickBot="1" x14ac:dyDescent="0.25">
      <c r="A20" s="134">
        <v>1</v>
      </c>
      <c r="B20" s="135" t="s">
        <v>524</v>
      </c>
      <c r="C20" s="158" t="s">
        <v>90</v>
      </c>
      <c r="D20" s="157" t="s">
        <v>92</v>
      </c>
      <c r="E20" s="159" t="s">
        <v>94</v>
      </c>
    </row>
    <row r="21" spans="1:5" ht="63.75" thickBot="1" x14ac:dyDescent="0.25">
      <c r="A21" s="134">
        <v>2</v>
      </c>
      <c r="B21" s="135" t="s">
        <v>512</v>
      </c>
      <c r="C21" s="160" t="s">
        <v>24</v>
      </c>
      <c r="D21" s="161" t="s">
        <v>455</v>
      </c>
      <c r="E21" s="162" t="s">
        <v>97</v>
      </c>
    </row>
    <row r="22" spans="1:5" ht="409.5" customHeight="1" thickBot="1" x14ac:dyDescent="0.25">
      <c r="A22" s="134">
        <v>3</v>
      </c>
      <c r="B22" s="135" t="s">
        <v>525</v>
      </c>
      <c r="C22" s="163" t="s">
        <v>550</v>
      </c>
      <c r="D22" s="163" t="s">
        <v>550</v>
      </c>
      <c r="E22" s="163" t="s">
        <v>550</v>
      </c>
    </row>
    <row r="23" spans="1:5" ht="375" customHeight="1" thickBot="1" x14ac:dyDescent="0.25">
      <c r="A23" s="134">
        <v>4</v>
      </c>
      <c r="B23" s="135" t="s">
        <v>513</v>
      </c>
      <c r="C23" s="164" t="s">
        <v>528</v>
      </c>
      <c r="D23" s="161" t="s">
        <v>529</v>
      </c>
      <c r="E23" s="162" t="s">
        <v>533</v>
      </c>
    </row>
    <row r="24" spans="1:5" ht="16.5" thickBot="1" x14ac:dyDescent="0.25">
      <c r="A24" s="134">
        <v>5</v>
      </c>
      <c r="B24" s="135" t="s">
        <v>530</v>
      </c>
      <c r="C24" s="165" t="s">
        <v>551</v>
      </c>
      <c r="D24" s="161" t="s">
        <v>551</v>
      </c>
      <c r="E24" s="162" t="s">
        <v>551</v>
      </c>
    </row>
    <row r="25" spans="1:5" ht="284.25" thickBot="1" x14ac:dyDescent="0.25">
      <c r="A25" s="134">
        <v>6</v>
      </c>
      <c r="B25" s="135" t="s">
        <v>514</v>
      </c>
      <c r="C25" s="165" t="s">
        <v>552</v>
      </c>
      <c r="D25" s="161" t="s">
        <v>552</v>
      </c>
      <c r="E25" s="162" t="s">
        <v>552</v>
      </c>
    </row>
    <row r="26" spans="1:5" ht="16.5" thickBot="1" x14ac:dyDescent="0.25">
      <c r="A26" s="134">
        <v>7</v>
      </c>
      <c r="B26" s="135" t="s">
        <v>515</v>
      </c>
      <c r="C26" s="166" t="s">
        <v>559</v>
      </c>
      <c r="D26" s="166" t="s">
        <v>559</v>
      </c>
      <c r="E26" s="166" t="s">
        <v>531</v>
      </c>
    </row>
    <row r="27" spans="1:5" s="137" customFormat="1" ht="79.5" thickBot="1" x14ac:dyDescent="0.25">
      <c r="A27" s="149">
        <v>8</v>
      </c>
      <c r="B27" s="150" t="s">
        <v>516</v>
      </c>
      <c r="C27" s="167">
        <f>tab.1_ZSO_gminy!I6/tab.1_ZSO_gminy!F4</f>
        <v>1.7767882187938289</v>
      </c>
      <c r="D27" s="168">
        <f>tab.2_EE_gminy!G4/tab.2_EE_gminy!E2</f>
        <v>13</v>
      </c>
      <c r="E27" s="169">
        <f>tab.3_KPP!G7/tab.3_KPP!E2</f>
        <v>4</v>
      </c>
    </row>
    <row r="28" spans="1:5" ht="32.25" thickBot="1" x14ac:dyDescent="0.25">
      <c r="A28" s="136">
        <v>9</v>
      </c>
      <c r="B28" s="139" t="s">
        <v>517</v>
      </c>
      <c r="C28" s="165" t="s">
        <v>537</v>
      </c>
      <c r="D28" s="170" t="s">
        <v>537</v>
      </c>
      <c r="E28" s="170" t="s">
        <v>538</v>
      </c>
    </row>
    <row r="29" spans="1:5" ht="32.25" thickBot="1" x14ac:dyDescent="0.25">
      <c r="A29" s="136">
        <v>10</v>
      </c>
      <c r="B29" s="139" t="s">
        <v>518</v>
      </c>
      <c r="C29" s="171" t="s">
        <v>539</v>
      </c>
      <c r="D29" s="172" t="s">
        <v>539</v>
      </c>
      <c r="E29" s="171" t="s">
        <v>539</v>
      </c>
    </row>
    <row r="30" spans="1:5" ht="31.5" x14ac:dyDescent="0.2">
      <c r="A30" s="254">
        <v>11</v>
      </c>
      <c r="B30" s="257" t="s">
        <v>519</v>
      </c>
      <c r="C30" s="260" t="s">
        <v>534</v>
      </c>
      <c r="D30" s="173" t="s">
        <v>543</v>
      </c>
      <c r="E30" s="260" t="s">
        <v>536</v>
      </c>
    </row>
    <row r="31" spans="1:5" ht="15.75" x14ac:dyDescent="0.2">
      <c r="A31" s="255"/>
      <c r="B31" s="258"/>
      <c r="C31" s="247"/>
      <c r="D31" s="174">
        <f>tab.2_EE_gminy!F4</f>
        <v>8</v>
      </c>
      <c r="E31" s="247"/>
    </row>
    <row r="32" spans="1:5" ht="15.75" x14ac:dyDescent="0.2">
      <c r="A32" s="255"/>
      <c r="B32" s="258"/>
      <c r="C32" s="247"/>
      <c r="D32" s="175" t="s">
        <v>544</v>
      </c>
      <c r="E32" s="247"/>
    </row>
    <row r="33" spans="1:5" ht="15.75" x14ac:dyDescent="0.2">
      <c r="A33" s="255"/>
      <c r="B33" s="258"/>
      <c r="C33" s="247"/>
      <c r="D33" s="174">
        <f>tab.2_EE_gminy!G4</f>
        <v>13</v>
      </c>
      <c r="E33" s="247"/>
    </row>
    <row r="34" spans="1:5" ht="24.75" customHeight="1" x14ac:dyDescent="0.2">
      <c r="A34" s="255"/>
      <c r="B34" s="258"/>
      <c r="C34" s="261"/>
      <c r="D34" s="175" t="s">
        <v>545</v>
      </c>
      <c r="E34" s="261"/>
    </row>
    <row r="35" spans="1:5" ht="15.75" x14ac:dyDescent="0.2">
      <c r="A35" s="256"/>
      <c r="B35" s="259"/>
      <c r="C35" s="176">
        <f>tab.1_ZSO_gminy!J6</f>
        <v>134</v>
      </c>
      <c r="D35" s="174">
        <f>tab.2_EE_gminy!H4</f>
        <v>1</v>
      </c>
      <c r="E35" s="176">
        <f>tab.3_KPP!H7</f>
        <v>20</v>
      </c>
    </row>
    <row r="36" spans="1:5" ht="15.75" x14ac:dyDescent="0.2">
      <c r="A36" s="256"/>
      <c r="B36" s="259"/>
      <c r="C36" s="262" t="s">
        <v>548</v>
      </c>
      <c r="D36" s="175" t="s">
        <v>547</v>
      </c>
      <c r="E36" s="262" t="s">
        <v>535</v>
      </c>
    </row>
    <row r="37" spans="1:5" ht="15.75" x14ac:dyDescent="0.2">
      <c r="A37" s="256"/>
      <c r="B37" s="259"/>
      <c r="C37" s="263"/>
      <c r="D37" s="174">
        <f>tab.2_EE_gminy!I4</f>
        <v>0</v>
      </c>
      <c r="E37" s="263"/>
    </row>
    <row r="38" spans="1:5" ht="31.5" x14ac:dyDescent="0.2">
      <c r="A38" s="256"/>
      <c r="B38" s="259"/>
      <c r="C38" s="264"/>
      <c r="D38" s="175" t="s">
        <v>546</v>
      </c>
      <c r="E38" s="264"/>
    </row>
    <row r="39" spans="1:5" ht="16.5" thickBot="1" x14ac:dyDescent="0.25">
      <c r="A39" s="256"/>
      <c r="B39" s="259"/>
      <c r="C39" s="177">
        <f>tab.1_ZSO_gminy!I6</f>
        <v>25337</v>
      </c>
      <c r="D39" s="178">
        <f>tab.2_EE_gminy!J4</f>
        <v>62490</v>
      </c>
      <c r="E39" s="177">
        <f>tab.3_KPP!M7</f>
        <v>0</v>
      </c>
    </row>
    <row r="40" spans="1:5" ht="15.75" customHeight="1" x14ac:dyDescent="0.2">
      <c r="A40" s="237">
        <v>12</v>
      </c>
      <c r="B40" s="240" t="s">
        <v>561</v>
      </c>
      <c r="C40" s="171" t="s">
        <v>540</v>
      </c>
      <c r="D40" s="243" t="s">
        <v>432</v>
      </c>
      <c r="E40" s="246" t="s">
        <v>432</v>
      </c>
    </row>
    <row r="41" spans="1:5" ht="15.75" x14ac:dyDescent="0.2">
      <c r="A41" s="238"/>
      <c r="B41" s="241"/>
      <c r="C41" s="179">
        <f>tab.1_ZSO_gminy!K6/1000</f>
        <v>12.638819505999999</v>
      </c>
      <c r="D41" s="244"/>
      <c r="E41" s="247"/>
    </row>
    <row r="42" spans="1:5" ht="15.75" x14ac:dyDescent="0.2">
      <c r="A42" s="238"/>
      <c r="B42" s="241"/>
      <c r="C42" s="180" t="s">
        <v>541</v>
      </c>
      <c r="D42" s="244"/>
      <c r="E42" s="247"/>
    </row>
    <row r="43" spans="1:5" ht="15.75" x14ac:dyDescent="0.2">
      <c r="A43" s="238"/>
      <c r="B43" s="241"/>
      <c r="C43" s="179">
        <f>tab.1_ZSO_gminy!L6/1000</f>
        <v>12.455572317999998</v>
      </c>
      <c r="D43" s="244"/>
      <c r="E43" s="247"/>
    </row>
    <row r="44" spans="1:5" ht="15.75" x14ac:dyDescent="0.2">
      <c r="A44" s="238"/>
      <c r="B44" s="241"/>
      <c r="C44" s="180" t="s">
        <v>542</v>
      </c>
      <c r="D44" s="244"/>
      <c r="E44" s="247"/>
    </row>
    <row r="45" spans="1:5" ht="16.5" thickBot="1" x14ac:dyDescent="0.25">
      <c r="A45" s="239"/>
      <c r="B45" s="242"/>
      <c r="C45" s="181">
        <f>tab.1_ZSO_gminy!M6/1000</f>
        <v>7.2018377900000012E-3</v>
      </c>
      <c r="D45" s="245"/>
      <c r="E45" s="248"/>
    </row>
    <row r="46" spans="1:5" ht="32.25" thickBot="1" x14ac:dyDescent="0.25">
      <c r="A46" s="148">
        <v>13</v>
      </c>
      <c r="B46" s="147" t="s">
        <v>520</v>
      </c>
      <c r="C46" s="182">
        <f>tab.1_ZSO_gminy!N6</f>
        <v>6049018.0499999998</v>
      </c>
      <c r="D46" s="183">
        <f>tab.2_EE_gminy!K4</f>
        <v>9000</v>
      </c>
      <c r="E46" s="156">
        <v>0</v>
      </c>
    </row>
    <row r="47" spans="1:5" ht="32.25" thickBot="1" x14ac:dyDescent="0.25">
      <c r="A47" s="134">
        <v>14</v>
      </c>
      <c r="B47" s="135" t="s">
        <v>521</v>
      </c>
      <c r="C47" s="155">
        <f>C46/4.38</f>
        <v>1381054.3493150685</v>
      </c>
      <c r="D47" s="156">
        <f>D46/4.38</f>
        <v>2054.7945205479455</v>
      </c>
      <c r="E47" s="156">
        <v>0</v>
      </c>
    </row>
    <row r="48" spans="1:5" ht="16.5" thickBot="1" x14ac:dyDescent="0.25">
      <c r="A48" s="134">
        <v>15</v>
      </c>
      <c r="B48" s="135" t="s">
        <v>9</v>
      </c>
      <c r="C48" s="155" t="s">
        <v>580</v>
      </c>
      <c r="D48" s="156" t="s">
        <v>580</v>
      </c>
      <c r="E48" s="156" t="s">
        <v>580</v>
      </c>
    </row>
    <row r="51" spans="1:1" x14ac:dyDescent="0.2">
      <c r="A51" s="43"/>
    </row>
  </sheetData>
  <mergeCells count="24">
    <mergeCell ref="C15:D15"/>
    <mergeCell ref="A4:D4"/>
    <mergeCell ref="C5:D5"/>
    <mergeCell ref="C6:D6"/>
    <mergeCell ref="C7:D7"/>
    <mergeCell ref="C8:D8"/>
    <mergeCell ref="C9:D9"/>
    <mergeCell ref="C10:D10"/>
    <mergeCell ref="C11:D11"/>
    <mergeCell ref="C12:D12"/>
    <mergeCell ref="C13:D13"/>
    <mergeCell ref="C14:D14"/>
    <mergeCell ref="A40:A45"/>
    <mergeCell ref="B40:B45"/>
    <mergeCell ref="D40:D45"/>
    <mergeCell ref="E40:E45"/>
    <mergeCell ref="C16:D16"/>
    <mergeCell ref="A18:E18"/>
    <mergeCell ref="A30:A39"/>
    <mergeCell ref="B30:B39"/>
    <mergeCell ref="C30:C34"/>
    <mergeCell ref="E30:E34"/>
    <mergeCell ref="C36:C38"/>
    <mergeCell ref="E36:E38"/>
  </mergeCells>
  <hyperlinks>
    <hyperlink ref="C15" r:id="rId1" xr:uid="{8618C462-418A-418B-AFE1-4F7770C3349F}"/>
    <hyperlink ref="C10" r:id="rId2" xr:uid="{F31289C0-E8B2-4915-B88F-458C32CD5DE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Z180"/>
  <sheetViews>
    <sheetView workbookViewId="0">
      <pane ySplit="8" topLeftCell="A9" activePane="bottomLeft" state="frozen"/>
      <selection pane="bottomLeft" activeCell="S108" sqref="S108"/>
    </sheetView>
  </sheetViews>
  <sheetFormatPr defaultColWidth="8.85546875" defaultRowHeight="12" x14ac:dyDescent="0.2"/>
  <cols>
    <col min="1" max="1" width="9" style="1" customWidth="1"/>
    <col min="2" max="2" width="17.7109375" style="1" bestFit="1" customWidth="1"/>
    <col min="3" max="3" width="10.85546875" style="1" bestFit="1" customWidth="1"/>
    <col min="4" max="4" width="8.28515625" style="1" customWidth="1"/>
    <col min="5" max="5" width="13.28515625" style="1" customWidth="1"/>
    <col min="6" max="6" width="9.7109375" style="1" customWidth="1"/>
    <col min="7" max="7" width="14.7109375" style="1" bestFit="1" customWidth="1"/>
    <col min="8" max="15" width="7.7109375" style="1" customWidth="1"/>
    <col min="16" max="17" width="17" style="1" customWidth="1"/>
    <col min="18" max="18" width="3.7109375" style="1" customWidth="1"/>
    <col min="19" max="19" width="6.28515625" style="1" customWidth="1"/>
    <col min="20" max="26" width="6.140625" style="1" customWidth="1"/>
    <col min="27" max="16384" width="8.85546875" style="1"/>
  </cols>
  <sheetData>
    <row r="1" spans="1:26" x14ac:dyDescent="0.2">
      <c r="A1" s="36">
        <v>1</v>
      </c>
      <c r="B1" s="36">
        <f t="shared" ref="B1:Q1" si="0">A1+1</f>
        <v>2</v>
      </c>
      <c r="C1" s="36">
        <f t="shared" si="0"/>
        <v>3</v>
      </c>
      <c r="D1" s="36">
        <f t="shared" si="0"/>
        <v>4</v>
      </c>
      <c r="E1" s="36">
        <f t="shared" si="0"/>
        <v>5</v>
      </c>
      <c r="F1" s="36">
        <f t="shared" si="0"/>
        <v>6</v>
      </c>
      <c r="G1" s="36">
        <f t="shared" si="0"/>
        <v>7</v>
      </c>
      <c r="H1" s="36">
        <f t="shared" si="0"/>
        <v>8</v>
      </c>
      <c r="I1" s="36">
        <f t="shared" si="0"/>
        <v>9</v>
      </c>
      <c r="J1" s="36">
        <f t="shared" si="0"/>
        <v>10</v>
      </c>
      <c r="K1" s="36">
        <f t="shared" si="0"/>
        <v>11</v>
      </c>
      <c r="L1" s="36">
        <f t="shared" si="0"/>
        <v>12</v>
      </c>
      <c r="M1" s="36">
        <f t="shared" si="0"/>
        <v>13</v>
      </c>
      <c r="N1" s="36">
        <f t="shared" si="0"/>
        <v>14</v>
      </c>
      <c r="O1" s="36">
        <f t="shared" si="0"/>
        <v>15</v>
      </c>
      <c r="P1" s="36">
        <f t="shared" si="0"/>
        <v>16</v>
      </c>
      <c r="Q1" s="36">
        <f t="shared" si="0"/>
        <v>17</v>
      </c>
      <c r="R1" s="36">
        <f t="shared" ref="R1" si="1">Q1+1</f>
        <v>18</v>
      </c>
      <c r="S1" s="36">
        <f t="shared" ref="S1" si="2">R1+1</f>
        <v>19</v>
      </c>
      <c r="T1" s="36">
        <f t="shared" ref="T1" si="3">S1+1</f>
        <v>20</v>
      </c>
      <c r="U1" s="36">
        <f t="shared" ref="U1" si="4">T1+1</f>
        <v>21</v>
      </c>
      <c r="V1" s="36">
        <f t="shared" ref="V1" si="5">U1+1</f>
        <v>22</v>
      </c>
      <c r="W1" s="36">
        <f t="shared" ref="W1" si="6">V1+1</f>
        <v>23</v>
      </c>
      <c r="X1" s="36">
        <f t="shared" ref="X1" si="7">W1+1</f>
        <v>24</v>
      </c>
      <c r="Y1" s="36">
        <f t="shared" ref="Y1" si="8">X1+1</f>
        <v>25</v>
      </c>
      <c r="Z1" s="36">
        <f t="shared" ref="Z1" si="9">Y1+1</f>
        <v>26</v>
      </c>
    </row>
    <row r="2" spans="1:26" ht="40.15" customHeight="1" x14ac:dyDescent="0.2">
      <c r="H2" s="199" t="s">
        <v>316</v>
      </c>
      <c r="I2" s="200"/>
      <c r="J2" s="200"/>
      <c r="K2" s="200"/>
      <c r="L2" s="200"/>
      <c r="M2" s="200"/>
      <c r="N2" s="200"/>
      <c r="O2" s="201"/>
      <c r="P2" s="50" t="s">
        <v>318</v>
      </c>
      <c r="Q2" s="50" t="s">
        <v>319</v>
      </c>
      <c r="S2" s="99" t="s">
        <v>300</v>
      </c>
      <c r="T2" s="78">
        <v>2020</v>
      </c>
      <c r="U2" s="78">
        <v>2021</v>
      </c>
      <c r="V2" s="78">
        <v>2022</v>
      </c>
      <c r="W2" s="78">
        <v>2023</v>
      </c>
      <c r="X2" s="78">
        <v>2024</v>
      </c>
      <c r="Y2" s="78">
        <v>2025</v>
      </c>
      <c r="Z2" s="78">
        <v>2026</v>
      </c>
    </row>
    <row r="3" spans="1:26" x14ac:dyDescent="0.2">
      <c r="A3" s="39" t="s">
        <v>6</v>
      </c>
      <c r="B3" s="39" t="s">
        <v>5</v>
      </c>
      <c r="C3" s="39" t="s">
        <v>314</v>
      </c>
      <c r="D3" s="39" t="s">
        <v>300</v>
      </c>
      <c r="E3" s="39" t="s">
        <v>301</v>
      </c>
      <c r="F3" s="39" t="s">
        <v>2</v>
      </c>
      <c r="G3" s="39" t="s">
        <v>3</v>
      </c>
      <c r="H3" s="40" t="s">
        <v>302</v>
      </c>
      <c r="I3" s="40" t="s">
        <v>303</v>
      </c>
      <c r="J3" s="40" t="s">
        <v>304</v>
      </c>
      <c r="K3" s="40" t="s">
        <v>305</v>
      </c>
      <c r="L3" s="40" t="s">
        <v>306</v>
      </c>
      <c r="M3" s="40" t="s">
        <v>307</v>
      </c>
      <c r="N3" s="40" t="s">
        <v>308</v>
      </c>
      <c r="O3" s="41" t="s">
        <v>309</v>
      </c>
      <c r="P3" s="41" t="s">
        <v>28</v>
      </c>
      <c r="Q3" s="41" t="s">
        <v>317</v>
      </c>
      <c r="S3" s="100"/>
      <c r="T3" s="98">
        <f>I$1</f>
        <v>9</v>
      </c>
      <c r="U3" s="98">
        <f t="shared" ref="U3:Z3" si="10">J$1</f>
        <v>10</v>
      </c>
      <c r="V3" s="98">
        <f t="shared" si="10"/>
        <v>11</v>
      </c>
      <c r="W3" s="98">
        <f t="shared" si="10"/>
        <v>12</v>
      </c>
      <c r="X3" s="98">
        <f t="shared" si="10"/>
        <v>13</v>
      </c>
      <c r="Y3" s="98">
        <f t="shared" si="10"/>
        <v>14</v>
      </c>
      <c r="Z3" s="98">
        <f t="shared" si="10"/>
        <v>15</v>
      </c>
    </row>
    <row r="4" spans="1:26" hidden="1" x14ac:dyDescent="0.2">
      <c r="A4" s="1" t="s">
        <v>298</v>
      </c>
      <c r="B4" s="1" t="s">
        <v>299</v>
      </c>
      <c r="C4" s="1" t="str">
        <f>gminy_26[[#This Row],[kod gminy]]</f>
        <v>2661011</v>
      </c>
      <c r="D4" s="1" t="s">
        <v>75</v>
      </c>
      <c r="E4" s="1" t="s">
        <v>299</v>
      </c>
      <c r="F4" s="1" t="s">
        <v>58</v>
      </c>
      <c r="G4" s="1" t="str">
        <f>VLOOKUP(gminy_26[[#This Row],[kod strefy]],strefy_26[],2,FALSE)</f>
        <v>miasto Kielce</v>
      </c>
      <c r="H4" s="35">
        <v>469610</v>
      </c>
      <c r="I4" s="35">
        <v>0</v>
      </c>
      <c r="J4" s="35">
        <v>37570</v>
      </c>
      <c r="K4" s="35">
        <v>70440</v>
      </c>
      <c r="L4" s="35">
        <v>79840</v>
      </c>
      <c r="M4" s="35">
        <v>93920</v>
      </c>
      <c r="N4" s="35">
        <v>93920</v>
      </c>
      <c r="O4" s="38">
        <v>93920</v>
      </c>
      <c r="P4" s="38">
        <v>1</v>
      </c>
      <c r="Q4" s="38">
        <v>200</v>
      </c>
      <c r="S4" s="3" t="s">
        <v>62</v>
      </c>
      <c r="T4" s="101">
        <f>SUMIFS(gminy_26[2020],gminy_26[kod powiatu],$S4)</f>
        <v>0</v>
      </c>
      <c r="U4" s="101">
        <f>SUMIFS(gminy_26[2021],gminy_26[kod powiatu],$S4)</f>
        <v>25610</v>
      </c>
      <c r="V4" s="101">
        <f>SUMIFS(gminy_26[2022],gminy_26[kod powiatu],$S4)</f>
        <v>47970</v>
      </c>
      <c r="W4" s="101">
        <f>SUMIFS(gminy_26[2023],gminy_26[kod powiatu],$S4)</f>
        <v>54400</v>
      </c>
      <c r="X4" s="101">
        <f>SUMIFS(gminy_26[2024],gminy_26[kod powiatu],$S4)</f>
        <v>151140</v>
      </c>
      <c r="Y4" s="101">
        <f>SUMIFS(gminy_26[2025],gminy_26[kod powiatu],$S4)</f>
        <v>151140</v>
      </c>
      <c r="Z4" s="101">
        <f>SUMIFS(gminy_26[2026],gminy_26[kod powiatu],$S4)</f>
        <v>180210</v>
      </c>
    </row>
    <row r="5" spans="1:26" hidden="1" x14ac:dyDescent="0.2">
      <c r="A5" s="1" t="s">
        <v>99</v>
      </c>
      <c r="B5" s="1" t="s">
        <v>100</v>
      </c>
      <c r="C5" s="1" t="str">
        <f>gminy_26[[#This Row],[kod gminy]]</f>
        <v>2606012</v>
      </c>
      <c r="D5" s="1" t="s">
        <v>67</v>
      </c>
      <c r="E5" s="1" t="str">
        <f>VLOOKUP(gminy_26[[#This Row],[kod powiatu]],powiaty_26[],katalogi!$B$1,FALSE)</f>
        <v>opatowski</v>
      </c>
      <c r="F5" s="1" t="s">
        <v>60</v>
      </c>
      <c r="G5" s="1" t="str">
        <f>VLOOKUP(gminy_26[[#This Row],[kod strefy]],strefy_26[],2,FALSE)</f>
        <v>strefa świętokrzyska</v>
      </c>
      <c r="H5" s="35">
        <v>34360</v>
      </c>
      <c r="I5" s="35">
        <v>0</v>
      </c>
      <c r="J5" s="35">
        <v>300</v>
      </c>
      <c r="K5" s="35">
        <v>550</v>
      </c>
      <c r="L5" s="35">
        <v>630</v>
      </c>
      <c r="M5" s="35">
        <v>9940</v>
      </c>
      <c r="N5" s="35">
        <v>9940</v>
      </c>
      <c r="O5" s="38">
        <v>13000</v>
      </c>
      <c r="P5" s="38">
        <v>1</v>
      </c>
      <c r="Q5" s="38">
        <v>5</v>
      </c>
      <c r="S5" s="3" t="s">
        <v>63</v>
      </c>
      <c r="T5" s="101">
        <f>SUMIFS(gminy_26[2020],gminy_26[kod powiatu],$S5)</f>
        <v>0</v>
      </c>
      <c r="U5" s="101">
        <f>SUMIFS(gminy_26[2021],gminy_26[kod powiatu],$S5)</f>
        <v>35820</v>
      </c>
      <c r="V5" s="101">
        <f>SUMIFS(gminy_26[2022],gminy_26[kod powiatu],$S5)</f>
        <v>67110</v>
      </c>
      <c r="W5" s="101">
        <f>SUMIFS(gminy_26[2023],gminy_26[kod powiatu],$S5)</f>
        <v>76070</v>
      </c>
      <c r="X5" s="101">
        <f>SUMIFS(gminy_26[2024],gminy_26[kod powiatu],$S5)</f>
        <v>209790</v>
      </c>
      <c r="Y5" s="101">
        <f>SUMIFS(gminy_26[2025],gminy_26[kod powiatu],$S5)</f>
        <v>209790</v>
      </c>
      <c r="Z5" s="101">
        <f>SUMIFS(gminy_26[2026],gminy_26[kod powiatu],$S5)</f>
        <v>249900</v>
      </c>
    </row>
    <row r="6" spans="1:26" hidden="1" x14ac:dyDescent="0.2">
      <c r="A6" s="1" t="s">
        <v>101</v>
      </c>
      <c r="B6" s="1" t="s">
        <v>102</v>
      </c>
      <c r="C6" s="1" t="str">
        <f>gminy_26[[#This Row],[kod gminy]]</f>
        <v>2607022</v>
      </c>
      <c r="D6" s="1" t="s">
        <v>68</v>
      </c>
      <c r="E6" s="1" t="str">
        <f>VLOOKUP(gminy_26[[#This Row],[kod powiatu]],powiaty_26[],katalogi!$B$1,FALSE)</f>
        <v>ostrowiecki</v>
      </c>
      <c r="F6" s="1" t="s">
        <v>60</v>
      </c>
      <c r="G6" s="1" t="str">
        <f>VLOOKUP(gminy_26[[#This Row],[kod strefy]],strefy_26[],2,FALSE)</f>
        <v>strefa świętokrzyska</v>
      </c>
      <c r="H6" s="35">
        <v>37380</v>
      </c>
      <c r="I6" s="35">
        <v>0</v>
      </c>
      <c r="J6" s="35">
        <v>1570</v>
      </c>
      <c r="K6" s="35">
        <v>2930</v>
      </c>
      <c r="L6" s="35">
        <v>3320</v>
      </c>
      <c r="M6" s="35">
        <v>9260</v>
      </c>
      <c r="N6" s="35">
        <v>9260</v>
      </c>
      <c r="O6" s="38">
        <v>11040</v>
      </c>
      <c r="P6" s="38">
        <v>1</v>
      </c>
      <c r="Q6" s="38">
        <v>5</v>
      </c>
      <c r="S6" s="3" t="s">
        <v>64</v>
      </c>
      <c r="T6" s="101">
        <f>SUMIFS(gminy_26[2020],gminy_26[kod powiatu],$S6)</f>
        <v>0</v>
      </c>
      <c r="U6" s="101">
        <f>SUMIFS(gminy_26[2021],gminy_26[kod powiatu],$S6)</f>
        <v>6800</v>
      </c>
      <c r="V6" s="101">
        <f>SUMIFS(gminy_26[2022],gminy_26[kod powiatu],$S6)</f>
        <v>12710</v>
      </c>
      <c r="W6" s="101">
        <f>SUMIFS(gminy_26[2023],gminy_26[kod powiatu],$S6)</f>
        <v>14420</v>
      </c>
      <c r="X6" s="101">
        <f>SUMIFS(gminy_26[2024],gminy_26[kod powiatu],$S6)</f>
        <v>64320</v>
      </c>
      <c r="Y6" s="101">
        <f>SUMIFS(gminy_26[2025],gminy_26[kod powiatu],$S6)</f>
        <v>64320</v>
      </c>
      <c r="Z6" s="101">
        <f>SUMIFS(gminy_26[2026],gminy_26[kod powiatu],$S6)</f>
        <v>80110</v>
      </c>
    </row>
    <row r="7" spans="1:26" hidden="1" x14ac:dyDescent="0.2">
      <c r="A7" s="1" t="s">
        <v>103</v>
      </c>
      <c r="B7" s="1" t="s">
        <v>104</v>
      </c>
      <c r="C7" s="1" t="str">
        <f>gminy_26[[#This Row],[kod gminy]]</f>
        <v>2603012</v>
      </c>
      <c r="D7" s="1" t="s">
        <v>64</v>
      </c>
      <c r="E7" s="1" t="str">
        <f>VLOOKUP(gminy_26[[#This Row],[kod powiatu]],powiaty_26[],katalogi!$B$1,FALSE)</f>
        <v>kazimierski</v>
      </c>
      <c r="F7" s="1" t="s">
        <v>60</v>
      </c>
      <c r="G7" s="1" t="str">
        <f>VLOOKUP(gminy_26[[#This Row],[kod strefy]],strefy_26[],2,FALSE)</f>
        <v>strefa świętokrzyska</v>
      </c>
      <c r="H7" s="35">
        <v>29250</v>
      </c>
      <c r="I7" s="35">
        <v>0</v>
      </c>
      <c r="J7" s="35">
        <v>790</v>
      </c>
      <c r="K7" s="35">
        <v>1470</v>
      </c>
      <c r="L7" s="35">
        <v>1670</v>
      </c>
      <c r="M7" s="35">
        <v>7790</v>
      </c>
      <c r="N7" s="35">
        <v>7790</v>
      </c>
      <c r="O7" s="38">
        <v>9740</v>
      </c>
      <c r="P7" s="38">
        <v>1</v>
      </c>
      <c r="Q7" s="38">
        <v>5</v>
      </c>
      <c r="S7" s="3" t="s">
        <v>65</v>
      </c>
      <c r="T7" s="101">
        <f>SUMIFS(gminy_26[2020],gminy_26[kod powiatu],$S7)</f>
        <v>0</v>
      </c>
      <c r="U7" s="101">
        <f>SUMIFS(gminy_26[2021],gminy_26[kod powiatu],$S7)</f>
        <v>92530</v>
      </c>
      <c r="V7" s="101">
        <f>SUMIFS(gminy_26[2022],gminy_26[kod powiatu],$S7)</f>
        <v>173390</v>
      </c>
      <c r="W7" s="101">
        <f>SUMIFS(gminy_26[2023],gminy_26[kod powiatu],$S7)</f>
        <v>196460</v>
      </c>
      <c r="X7" s="101">
        <f>SUMIFS(gminy_26[2024],gminy_26[kod powiatu],$S7)</f>
        <v>587180</v>
      </c>
      <c r="Y7" s="101">
        <f>SUMIFS(gminy_26[2025],gminy_26[kod powiatu],$S7)</f>
        <v>587180</v>
      </c>
      <c r="Z7" s="101">
        <f>SUMIFS(gminy_26[2026],gminy_26[kod powiatu],$S7)</f>
        <v>705840</v>
      </c>
    </row>
    <row r="8" spans="1:26" x14ac:dyDescent="0.2">
      <c r="A8" s="1" t="s">
        <v>105</v>
      </c>
      <c r="B8" s="1" t="s">
        <v>106</v>
      </c>
      <c r="C8" s="1" t="str">
        <f>gminy_26[[#This Row],[kod gminy]]</f>
        <v>2604012</v>
      </c>
      <c r="D8" s="1" t="s">
        <v>65</v>
      </c>
      <c r="E8" s="1" t="str">
        <f>VLOOKUP(gminy_26[[#This Row],[kod powiatu]],powiaty_26[],katalogi!$B$1,FALSE)</f>
        <v>kielecki</v>
      </c>
      <c r="F8" s="1" t="s">
        <v>60</v>
      </c>
      <c r="G8" s="1" t="str">
        <f>VLOOKUP(gminy_26[[#This Row],[kod strefy]],strefy_26[],2,FALSE)</f>
        <v>strefa świętokrzyska</v>
      </c>
      <c r="H8" s="35">
        <v>123210</v>
      </c>
      <c r="I8" s="35">
        <v>0</v>
      </c>
      <c r="J8" s="35">
        <v>4940</v>
      </c>
      <c r="K8" s="35">
        <v>9260</v>
      </c>
      <c r="L8" s="35">
        <v>10490</v>
      </c>
      <c r="M8" s="35">
        <v>30790</v>
      </c>
      <c r="N8" s="35">
        <v>30790</v>
      </c>
      <c r="O8" s="38">
        <v>36940</v>
      </c>
      <c r="P8" s="38">
        <v>1</v>
      </c>
      <c r="Q8" s="38">
        <v>5</v>
      </c>
      <c r="S8" s="3" t="s">
        <v>66</v>
      </c>
      <c r="T8" s="101">
        <f>SUMIFS(gminy_26[2020],gminy_26[kod powiatu],$S8)</f>
        <v>0</v>
      </c>
      <c r="U8" s="101">
        <f>SUMIFS(gminy_26[2021],gminy_26[kod powiatu],$S8)</f>
        <v>21050</v>
      </c>
      <c r="V8" s="101">
        <f>SUMIFS(gminy_26[2022],gminy_26[kod powiatu],$S8)</f>
        <v>39410</v>
      </c>
      <c r="W8" s="101">
        <f>SUMIFS(gminy_26[2023],gminy_26[kod powiatu],$S8)</f>
        <v>44670</v>
      </c>
      <c r="X8" s="101">
        <f>SUMIFS(gminy_26[2024],gminy_26[kod powiatu],$S8)</f>
        <v>183160</v>
      </c>
      <c r="Y8" s="101">
        <f>SUMIFS(gminy_26[2025],gminy_26[kod powiatu],$S8)</f>
        <v>183160</v>
      </c>
      <c r="Z8" s="101">
        <f>SUMIFS(gminy_26[2026],gminy_26[kod powiatu],$S8)</f>
        <v>226700</v>
      </c>
    </row>
    <row r="9" spans="1:26" hidden="1" x14ac:dyDescent="0.2">
      <c r="A9" s="1" t="s">
        <v>107</v>
      </c>
      <c r="B9" s="1" t="s">
        <v>108</v>
      </c>
      <c r="C9" s="1" t="str">
        <f>gminy_26[[#This Row],[kod gminy]]</f>
        <v>2610022</v>
      </c>
      <c r="D9" s="1" t="s">
        <v>71</v>
      </c>
      <c r="E9" s="1" t="str">
        <f>VLOOKUP(gminy_26[[#This Row],[kod powiatu]],powiaty_26[],katalogi!$B$1,FALSE)</f>
        <v>skarżyski</v>
      </c>
      <c r="F9" s="1" t="s">
        <v>60</v>
      </c>
      <c r="G9" s="1" t="str">
        <f>VLOOKUP(gminy_26[[#This Row],[kod strefy]],strefy_26[],2,FALSE)</f>
        <v>strefa świętokrzyska</v>
      </c>
      <c r="H9" s="35">
        <v>77710</v>
      </c>
      <c r="I9" s="35">
        <v>0</v>
      </c>
      <c r="J9" s="35">
        <v>2060</v>
      </c>
      <c r="K9" s="35">
        <v>3860</v>
      </c>
      <c r="L9" s="35">
        <v>4370</v>
      </c>
      <c r="M9" s="35">
        <v>20740</v>
      </c>
      <c r="N9" s="35">
        <v>20740</v>
      </c>
      <c r="O9" s="38">
        <v>25940</v>
      </c>
      <c r="P9" s="38">
        <v>1</v>
      </c>
      <c r="Q9" s="38">
        <v>5</v>
      </c>
      <c r="S9" s="3" t="s">
        <v>67</v>
      </c>
      <c r="T9" s="101">
        <f>SUMIFS(gminy_26[2020],gminy_26[kod powiatu],$S9)</f>
        <v>0</v>
      </c>
      <c r="U9" s="101">
        <f>SUMIFS(gminy_26[2021],gminy_26[kod powiatu],$S9)</f>
        <v>2680</v>
      </c>
      <c r="V9" s="101">
        <f>SUMIFS(gminy_26[2022],gminy_26[kod powiatu],$S9)</f>
        <v>4980</v>
      </c>
      <c r="W9" s="101">
        <f>SUMIFS(gminy_26[2023],gminy_26[kod powiatu],$S9)</f>
        <v>5660</v>
      </c>
      <c r="X9" s="101">
        <f>SUMIFS(gminy_26[2024],gminy_26[kod powiatu],$S9)</f>
        <v>92630</v>
      </c>
      <c r="Y9" s="101">
        <f>SUMIFS(gminy_26[2025],gminy_26[kod powiatu],$S9)</f>
        <v>92630</v>
      </c>
      <c r="Z9" s="101">
        <f>SUMIFS(gminy_26[2026],gminy_26[kod powiatu],$S9)</f>
        <v>121290</v>
      </c>
    </row>
    <row r="10" spans="1:26" hidden="1" x14ac:dyDescent="0.2">
      <c r="A10" s="1" t="s">
        <v>109</v>
      </c>
      <c r="B10" s="1" t="s">
        <v>110</v>
      </c>
      <c r="C10" s="1" t="str">
        <f>gminy_26[[#This Row],[kod gminy]]</f>
        <v>2607032</v>
      </c>
      <c r="D10" s="1" t="s">
        <v>68</v>
      </c>
      <c r="E10" s="1" t="str">
        <f>VLOOKUP(gminy_26[[#This Row],[kod powiatu]],powiaty_26[],katalogi!$B$1,FALSE)</f>
        <v>ostrowiecki</v>
      </c>
      <c r="F10" s="1" t="s">
        <v>60</v>
      </c>
      <c r="G10" s="1" t="str">
        <f>VLOOKUP(gminy_26[[#This Row],[kod strefy]],strefy_26[],2,FALSE)</f>
        <v>strefa świętokrzyska</v>
      </c>
      <c r="H10" s="35">
        <v>106270</v>
      </c>
      <c r="I10" s="35">
        <v>0</v>
      </c>
      <c r="J10" s="35">
        <v>4450</v>
      </c>
      <c r="K10" s="35">
        <v>8340</v>
      </c>
      <c r="L10" s="35">
        <v>9450</v>
      </c>
      <c r="M10" s="35">
        <v>26320</v>
      </c>
      <c r="N10" s="35">
        <v>26320</v>
      </c>
      <c r="O10" s="38">
        <v>31390</v>
      </c>
      <c r="P10" s="38">
        <v>1</v>
      </c>
      <c r="Q10" s="38">
        <v>5</v>
      </c>
      <c r="S10" s="3" t="s">
        <v>68</v>
      </c>
      <c r="T10" s="101">
        <f>SUMIFS(gminy_26[2020],gminy_26[kod powiatu],$S10)</f>
        <v>0</v>
      </c>
      <c r="U10" s="101">
        <f>SUMIFS(gminy_26[2021],gminy_26[kod powiatu],$S10)</f>
        <v>34780</v>
      </c>
      <c r="V10" s="101">
        <f>SUMIFS(gminy_26[2022],gminy_26[kod powiatu],$S10)</f>
        <v>65180</v>
      </c>
      <c r="W10" s="101">
        <f>SUMIFS(gminy_26[2023],gminy_26[kod powiatu],$S10)</f>
        <v>73870</v>
      </c>
      <c r="X10" s="101">
        <f>SUMIFS(gminy_26[2024],gminy_26[kod powiatu],$S10)</f>
        <v>199550</v>
      </c>
      <c r="Y10" s="101">
        <f>SUMIFS(gminy_26[2025],gminy_26[kod powiatu],$S10)</f>
        <v>199550</v>
      </c>
      <c r="Z10" s="101">
        <f>SUMIFS(gminy_26[2026],gminy_26[kod powiatu],$S10)</f>
        <v>237080</v>
      </c>
    </row>
    <row r="11" spans="1:26" x14ac:dyDescent="0.2">
      <c r="A11" s="1" t="s">
        <v>111</v>
      </c>
      <c r="B11" s="1" t="s">
        <v>112</v>
      </c>
      <c r="C11" s="1" t="str">
        <f>gminy_26[[#This Row],[kod gminy]]</f>
        <v>2604023</v>
      </c>
      <c r="D11" s="1" t="s">
        <v>65</v>
      </c>
      <c r="E11" s="1" t="str">
        <f>VLOOKUP(gminy_26[[#This Row],[kod powiatu]],powiaty_26[],katalogi!$B$1,FALSE)</f>
        <v>kielecki</v>
      </c>
      <c r="F11" s="1" t="s">
        <v>60</v>
      </c>
      <c r="G11" s="1" t="str">
        <f>VLOOKUP(gminy_26[[#This Row],[kod strefy]],strefy_26[],2,FALSE)</f>
        <v>strefa świętokrzyska</v>
      </c>
      <c r="H11" s="35">
        <v>129960</v>
      </c>
      <c r="I11" s="35">
        <v>0</v>
      </c>
      <c r="J11" s="35">
        <v>5080</v>
      </c>
      <c r="K11" s="35">
        <v>9520</v>
      </c>
      <c r="L11" s="35">
        <v>10790</v>
      </c>
      <c r="M11" s="35">
        <v>32640</v>
      </c>
      <c r="N11" s="35">
        <v>32640</v>
      </c>
      <c r="O11" s="38">
        <v>39290</v>
      </c>
      <c r="P11" s="38">
        <v>1</v>
      </c>
      <c r="Q11" s="38">
        <v>20</v>
      </c>
      <c r="S11" s="3" t="s">
        <v>69</v>
      </c>
      <c r="T11" s="101">
        <f>SUMIFS(gminy_26[2020],gminy_26[kod powiatu],$S11)</f>
        <v>0</v>
      </c>
      <c r="U11" s="101">
        <f>SUMIFS(gminy_26[2021],gminy_26[kod powiatu],$S11)</f>
        <v>4280</v>
      </c>
      <c r="V11" s="101">
        <f>SUMIFS(gminy_26[2022],gminy_26[kod powiatu],$S11)</f>
        <v>8010</v>
      </c>
      <c r="W11" s="101">
        <f>SUMIFS(gminy_26[2023],gminy_26[kod powiatu],$S11)</f>
        <v>9070</v>
      </c>
      <c r="X11" s="101">
        <f>SUMIFS(gminy_26[2024],gminy_26[kod powiatu],$S11)</f>
        <v>101300</v>
      </c>
      <c r="Y11" s="101">
        <f>SUMIFS(gminy_26[2025],gminy_26[kod powiatu],$S11)</f>
        <v>101300</v>
      </c>
      <c r="Z11" s="101">
        <f>SUMIFS(gminy_26[2026],gminy_26[kod powiatu],$S11)</f>
        <v>131530</v>
      </c>
    </row>
    <row r="12" spans="1:26" hidden="1" x14ac:dyDescent="0.2">
      <c r="A12" s="1" t="s">
        <v>113</v>
      </c>
      <c r="B12" s="1" t="s">
        <v>114</v>
      </c>
      <c r="C12" s="1" t="str">
        <f>gminy_26[[#This Row],[kod gminy]]</f>
        <v>2612012</v>
      </c>
      <c r="D12" s="1" t="s">
        <v>73</v>
      </c>
      <c r="E12" s="1" t="str">
        <f>VLOOKUP(gminy_26[[#This Row],[kod powiatu]],powiaty_26[],katalogi!$B$1,FALSE)</f>
        <v>staszowski</v>
      </c>
      <c r="F12" s="1" t="s">
        <v>60</v>
      </c>
      <c r="G12" s="1" t="str">
        <f>VLOOKUP(gminy_26[[#This Row],[kod strefy]],strefy_26[],2,FALSE)</f>
        <v>strefa świętokrzyska</v>
      </c>
      <c r="H12" s="35">
        <v>75700</v>
      </c>
      <c r="I12" s="35">
        <v>0</v>
      </c>
      <c r="J12" s="35">
        <v>4460</v>
      </c>
      <c r="K12" s="35">
        <v>8350</v>
      </c>
      <c r="L12" s="35">
        <v>9460</v>
      </c>
      <c r="M12" s="35">
        <v>17140</v>
      </c>
      <c r="N12" s="35">
        <v>17140</v>
      </c>
      <c r="O12" s="38">
        <v>19150</v>
      </c>
      <c r="P12" s="38">
        <v>1</v>
      </c>
      <c r="Q12" s="38">
        <v>5</v>
      </c>
      <c r="S12" s="3" t="s">
        <v>70</v>
      </c>
      <c r="T12" s="101">
        <f>SUMIFS(gminy_26[2020],gminy_26[kod powiatu],$S12)</f>
        <v>0</v>
      </c>
      <c r="U12" s="101">
        <f>SUMIFS(gminy_26[2021],gminy_26[kod powiatu],$S12)</f>
        <v>12250</v>
      </c>
      <c r="V12" s="101">
        <f>SUMIFS(gminy_26[2022],gminy_26[kod powiatu],$S12)</f>
        <v>22900</v>
      </c>
      <c r="W12" s="101">
        <f>SUMIFS(gminy_26[2023],gminy_26[kod powiatu],$S12)</f>
        <v>25970</v>
      </c>
      <c r="X12" s="101">
        <f>SUMIFS(gminy_26[2024],gminy_26[kod powiatu],$S12)</f>
        <v>92860</v>
      </c>
      <c r="Y12" s="101">
        <f>SUMIFS(gminy_26[2025],gminy_26[kod powiatu],$S12)</f>
        <v>92860</v>
      </c>
      <c r="Z12" s="101">
        <f>SUMIFS(gminy_26[2026],gminy_26[kod powiatu],$S12)</f>
        <v>113620</v>
      </c>
    </row>
    <row r="13" spans="1:26" hidden="1" x14ac:dyDescent="0.2">
      <c r="A13" s="1" t="s">
        <v>115</v>
      </c>
      <c r="B13" s="1" t="s">
        <v>116</v>
      </c>
      <c r="C13" s="1" t="str">
        <f>gminy_26[[#This Row],[kod gminy]]</f>
        <v>2611022</v>
      </c>
      <c r="D13" s="1" t="s">
        <v>72</v>
      </c>
      <c r="E13" s="1" t="str">
        <f>VLOOKUP(gminy_26[[#This Row],[kod powiatu]],powiaty_26[],katalogi!$B$1,FALSE)</f>
        <v>starachowicki</v>
      </c>
      <c r="F13" s="1" t="s">
        <v>60</v>
      </c>
      <c r="G13" s="1" t="str">
        <f>VLOOKUP(gminy_26[[#This Row],[kod strefy]],strefy_26[],2,FALSE)</f>
        <v>strefa świętokrzyska</v>
      </c>
      <c r="H13" s="35">
        <v>104260</v>
      </c>
      <c r="I13" s="35">
        <v>0</v>
      </c>
      <c r="J13" s="35">
        <v>2970</v>
      </c>
      <c r="K13" s="35">
        <v>5560</v>
      </c>
      <c r="L13" s="35">
        <v>6300</v>
      </c>
      <c r="M13" s="35">
        <v>27570</v>
      </c>
      <c r="N13" s="35">
        <v>27570</v>
      </c>
      <c r="O13" s="38">
        <v>34290</v>
      </c>
      <c r="P13" s="38">
        <v>1</v>
      </c>
      <c r="Q13" s="38">
        <v>5</v>
      </c>
      <c r="S13" s="3" t="s">
        <v>71</v>
      </c>
      <c r="T13" s="101">
        <f>SUMIFS(gminy_26[2020],gminy_26[kod powiatu],$S13)</f>
        <v>0</v>
      </c>
      <c r="U13" s="101">
        <f>SUMIFS(gminy_26[2021],gminy_26[kod powiatu],$S13)</f>
        <v>14480</v>
      </c>
      <c r="V13" s="101">
        <f>SUMIFS(gminy_26[2022],gminy_26[kod powiatu],$S13)</f>
        <v>27140</v>
      </c>
      <c r="W13" s="101">
        <f>SUMIFS(gminy_26[2023],gminy_26[kod powiatu],$S13)</f>
        <v>30740</v>
      </c>
      <c r="X13" s="101">
        <f>SUMIFS(gminy_26[2024],gminy_26[kod powiatu],$S13)</f>
        <v>145850</v>
      </c>
      <c r="Y13" s="101">
        <f>SUMIFS(gminy_26[2025],gminy_26[kod powiatu],$S13)</f>
        <v>145850</v>
      </c>
      <c r="Z13" s="101">
        <f>SUMIFS(gminy_26[2026],gminy_26[kod powiatu],$S13)</f>
        <v>182410</v>
      </c>
    </row>
    <row r="14" spans="1:26" hidden="1" x14ac:dyDescent="0.2">
      <c r="A14" s="1" t="s">
        <v>117</v>
      </c>
      <c r="B14" s="1" t="s">
        <v>118</v>
      </c>
      <c r="C14" s="1" t="str">
        <f>gminy_26[[#This Row],[kod gminy]]</f>
        <v>2601013</v>
      </c>
      <c r="D14" s="1" t="s">
        <v>62</v>
      </c>
      <c r="E14" s="1" t="str">
        <f>VLOOKUP(gminy_26[[#This Row],[kod powiatu]],powiaty_26[],katalogi!$B$1,FALSE)</f>
        <v>buski</v>
      </c>
      <c r="F14" s="1" t="s">
        <v>60</v>
      </c>
      <c r="G14" s="1" t="str">
        <f>VLOOKUP(gminy_26[[#This Row],[kod strefy]],strefy_26[],2,FALSE)</f>
        <v>strefa świętokrzyska</v>
      </c>
      <c r="H14" s="35">
        <v>236640</v>
      </c>
      <c r="I14" s="35">
        <v>0</v>
      </c>
      <c r="J14" s="35">
        <v>10010</v>
      </c>
      <c r="K14" s="35">
        <v>18760</v>
      </c>
      <c r="L14" s="35">
        <v>21270</v>
      </c>
      <c r="M14" s="35">
        <v>58480</v>
      </c>
      <c r="N14" s="35">
        <v>58480</v>
      </c>
      <c r="O14" s="38">
        <v>69640</v>
      </c>
      <c r="P14" s="38">
        <v>1</v>
      </c>
      <c r="Q14" s="38">
        <v>20</v>
      </c>
      <c r="S14" s="3" t="s">
        <v>72</v>
      </c>
      <c r="T14" s="101">
        <f>SUMIFS(gminy_26[2020],gminy_26[kod powiatu],$S14)</f>
        <v>0</v>
      </c>
      <c r="U14" s="101">
        <f>SUMIFS(gminy_26[2021],gminy_26[kod powiatu],$S14)</f>
        <v>19370</v>
      </c>
      <c r="V14" s="101">
        <f>SUMIFS(gminy_26[2022],gminy_26[kod powiatu],$S14)</f>
        <v>36300</v>
      </c>
      <c r="W14" s="101">
        <f>SUMIFS(gminy_26[2023],gminy_26[kod powiatu],$S14)</f>
        <v>41120</v>
      </c>
      <c r="X14" s="101">
        <f>SUMIFS(gminy_26[2024],gminy_26[kod powiatu],$S14)</f>
        <v>180100</v>
      </c>
      <c r="Y14" s="101">
        <f>SUMIFS(gminy_26[2025],gminy_26[kod powiatu],$S14)</f>
        <v>180100</v>
      </c>
      <c r="Z14" s="101">
        <f>SUMIFS(gminy_26[2026],gminy_26[kod powiatu],$S14)</f>
        <v>223990</v>
      </c>
    </row>
    <row r="15" spans="1:26" x14ac:dyDescent="0.2">
      <c r="A15" s="1" t="s">
        <v>119</v>
      </c>
      <c r="B15" s="1" t="s">
        <v>120</v>
      </c>
      <c r="C15" s="1" t="str">
        <f>gminy_26[[#This Row],[kod gminy]]</f>
        <v>2604033</v>
      </c>
      <c r="D15" s="1" t="s">
        <v>65</v>
      </c>
      <c r="E15" s="1" t="str">
        <f>VLOOKUP(gminy_26[[#This Row],[kod powiatu]],powiaty_26[],katalogi!$B$1,FALSE)</f>
        <v>kielecki</v>
      </c>
      <c r="F15" s="1" t="s">
        <v>60</v>
      </c>
      <c r="G15" s="1" t="str">
        <f>VLOOKUP(gminy_26[[#This Row],[kod strefy]],strefy_26[],2,FALSE)</f>
        <v>strefa świętokrzyska</v>
      </c>
      <c r="H15" s="35">
        <v>159720</v>
      </c>
      <c r="I15" s="35">
        <v>0</v>
      </c>
      <c r="J15" s="35">
        <v>6330</v>
      </c>
      <c r="K15" s="35">
        <v>11860</v>
      </c>
      <c r="L15" s="35">
        <v>13440</v>
      </c>
      <c r="M15" s="35">
        <v>40010</v>
      </c>
      <c r="N15" s="35">
        <v>40010</v>
      </c>
      <c r="O15" s="38">
        <v>48070</v>
      </c>
      <c r="P15" s="38">
        <v>1</v>
      </c>
      <c r="Q15" s="38">
        <v>20</v>
      </c>
      <c r="S15" s="3" t="s">
        <v>73</v>
      </c>
      <c r="T15" s="101">
        <f>SUMIFS(gminy_26[2020],gminy_26[kod powiatu],$S15)</f>
        <v>0</v>
      </c>
      <c r="U15" s="101">
        <f>SUMIFS(gminy_26[2021],gminy_26[kod powiatu],$S15)</f>
        <v>37080</v>
      </c>
      <c r="V15" s="101">
        <f>SUMIFS(gminy_26[2022],gminy_26[kod powiatu],$S15)</f>
        <v>69470</v>
      </c>
      <c r="W15" s="101">
        <f>SUMIFS(gminy_26[2023],gminy_26[kod powiatu],$S15)</f>
        <v>78710</v>
      </c>
      <c r="X15" s="101">
        <f>SUMIFS(gminy_26[2024],gminy_26[kod powiatu],$S15)</f>
        <v>141990</v>
      </c>
      <c r="Y15" s="101">
        <f>SUMIFS(gminy_26[2025],gminy_26[kod powiatu],$S15)</f>
        <v>141990</v>
      </c>
      <c r="Z15" s="101">
        <f>SUMIFS(gminy_26[2026],gminy_26[kod powiatu],$S15)</f>
        <v>158460</v>
      </c>
    </row>
    <row r="16" spans="1:26" x14ac:dyDescent="0.2">
      <c r="A16" s="1" t="s">
        <v>121</v>
      </c>
      <c r="B16" s="1" t="s">
        <v>122</v>
      </c>
      <c r="C16" s="1" t="str">
        <f>gminy_26[[#This Row],[kod gminy]]</f>
        <v>2604043</v>
      </c>
      <c r="D16" s="1" t="s">
        <v>65</v>
      </c>
      <c r="E16" s="1" t="str">
        <f>VLOOKUP(gminy_26[[#This Row],[kod powiatu]],powiaty_26[],katalogi!$B$1,FALSE)</f>
        <v>kielecki</v>
      </c>
      <c r="F16" s="1" t="s">
        <v>60</v>
      </c>
      <c r="G16" s="1" t="str">
        <f>VLOOKUP(gminy_26[[#This Row],[kod strefy]],strefy_26[],2,FALSE)</f>
        <v>strefa świętokrzyska</v>
      </c>
      <c r="H16" s="35">
        <v>122540</v>
      </c>
      <c r="I16" s="35">
        <v>0</v>
      </c>
      <c r="J16" s="35">
        <v>4860</v>
      </c>
      <c r="K16" s="35">
        <v>9100</v>
      </c>
      <c r="L16" s="35">
        <v>10320</v>
      </c>
      <c r="M16" s="35">
        <v>30690</v>
      </c>
      <c r="N16" s="35">
        <v>30690</v>
      </c>
      <c r="O16" s="38">
        <v>36880</v>
      </c>
      <c r="P16" s="38">
        <v>1</v>
      </c>
      <c r="Q16" s="38">
        <v>20</v>
      </c>
      <c r="S16" s="3" t="s">
        <v>74</v>
      </c>
      <c r="T16" s="101">
        <f>SUMIFS(gminy_26[2020],gminy_26[kod powiatu],$S16)</f>
        <v>0</v>
      </c>
      <c r="U16" s="101">
        <f>SUMIFS(gminy_26[2021],gminy_26[kod powiatu],$S16)</f>
        <v>5500</v>
      </c>
      <c r="V16" s="101">
        <f>SUMIFS(gminy_26[2022],gminy_26[kod powiatu],$S16)</f>
        <v>10290</v>
      </c>
      <c r="W16" s="101">
        <f>SUMIFS(gminy_26[2023],gminy_26[kod powiatu],$S16)</f>
        <v>11660</v>
      </c>
      <c r="X16" s="101">
        <f>SUMIFS(gminy_26[2024],gminy_26[kod powiatu],$S16)</f>
        <v>97440</v>
      </c>
      <c r="Y16" s="101">
        <f>SUMIFS(gminy_26[2025],gminy_26[kod powiatu],$S16)</f>
        <v>97440</v>
      </c>
      <c r="Z16" s="101">
        <f>SUMIFS(gminy_26[2026],gminy_26[kod powiatu],$S16)</f>
        <v>125330</v>
      </c>
    </row>
    <row r="17" spans="1:26" hidden="1" x14ac:dyDescent="0.2">
      <c r="A17" s="1" t="s">
        <v>123</v>
      </c>
      <c r="B17" s="1" t="s">
        <v>124</v>
      </c>
      <c r="C17" s="1" t="str">
        <f>gminy_26[[#This Row],[kod gminy]]</f>
        <v>2603022</v>
      </c>
      <c r="D17" s="1" t="s">
        <v>64</v>
      </c>
      <c r="E17" s="1" t="str">
        <f>VLOOKUP(gminy_26[[#This Row],[kod powiatu]],powiaty_26[],katalogi!$B$1,FALSE)</f>
        <v>kazimierski</v>
      </c>
      <c r="F17" s="1" t="s">
        <v>60</v>
      </c>
      <c r="G17" s="1" t="str">
        <f>VLOOKUP(gminy_26[[#This Row],[kod strefy]],strefy_26[],2,FALSE)</f>
        <v>strefa świętokrzyska</v>
      </c>
      <c r="H17" s="35">
        <v>27910</v>
      </c>
      <c r="I17" s="35">
        <v>0</v>
      </c>
      <c r="J17" s="35">
        <v>770</v>
      </c>
      <c r="K17" s="35">
        <v>1430</v>
      </c>
      <c r="L17" s="35">
        <v>1620</v>
      </c>
      <c r="M17" s="35">
        <v>7420</v>
      </c>
      <c r="N17" s="35">
        <v>7420</v>
      </c>
      <c r="O17" s="38">
        <v>9250</v>
      </c>
      <c r="P17" s="38">
        <v>1</v>
      </c>
      <c r="Q17" s="38">
        <v>5</v>
      </c>
      <c r="S17" s="3" t="s">
        <v>75</v>
      </c>
      <c r="T17" s="101">
        <f>SUMIFS(gminy_26[2020],gminy_26[kod powiatu],$S17)</f>
        <v>0</v>
      </c>
      <c r="U17" s="101">
        <f>SUMIFS(gminy_26[2021],gminy_26[kod powiatu],$S17)</f>
        <v>37570</v>
      </c>
      <c r="V17" s="101">
        <f>SUMIFS(gminy_26[2022],gminy_26[kod powiatu],$S17)</f>
        <v>70440</v>
      </c>
      <c r="W17" s="101">
        <f>SUMIFS(gminy_26[2023],gminy_26[kod powiatu],$S17)</f>
        <v>79840</v>
      </c>
      <c r="X17" s="101">
        <f>SUMIFS(gminy_26[2024],gminy_26[kod powiatu],$S17)</f>
        <v>93920</v>
      </c>
      <c r="Y17" s="101">
        <f>SUMIFS(gminy_26[2025],gminy_26[kod powiatu],$S17)</f>
        <v>93920</v>
      </c>
      <c r="Z17" s="101">
        <f>SUMIFS(gminy_26[2026],gminy_26[kod powiatu],$S17)</f>
        <v>93920</v>
      </c>
    </row>
    <row r="18" spans="1:26" hidden="1" x14ac:dyDescent="0.2">
      <c r="A18" s="1" t="s">
        <v>125</v>
      </c>
      <c r="B18" s="1" t="s">
        <v>126</v>
      </c>
      <c r="C18" s="1" t="str">
        <f>gminy_26[[#This Row],[kod gminy]]</f>
        <v>2607043</v>
      </c>
      <c r="D18" s="1" t="s">
        <v>68</v>
      </c>
      <c r="E18" s="1" t="str">
        <f>VLOOKUP(gminy_26[[#This Row],[kod powiatu]],powiaty_26[],katalogi!$B$1,FALSE)</f>
        <v>ostrowiecki</v>
      </c>
      <c r="F18" s="1" t="s">
        <v>60</v>
      </c>
      <c r="G18" s="1" t="str">
        <f>VLOOKUP(gminy_26[[#This Row],[kod strefy]],strefy_26[],2,FALSE)</f>
        <v>strefa świętokrzyska</v>
      </c>
      <c r="H18" s="35">
        <v>69840</v>
      </c>
      <c r="I18" s="35">
        <v>0</v>
      </c>
      <c r="J18" s="35">
        <v>2970</v>
      </c>
      <c r="K18" s="35">
        <v>5570</v>
      </c>
      <c r="L18" s="35">
        <v>6310</v>
      </c>
      <c r="M18" s="35">
        <v>17240</v>
      </c>
      <c r="N18" s="35">
        <v>17240</v>
      </c>
      <c r="O18" s="38">
        <v>20510</v>
      </c>
      <c r="P18" s="38">
        <v>1</v>
      </c>
      <c r="Q18" s="38">
        <v>20</v>
      </c>
    </row>
    <row r="19" spans="1:26" x14ac:dyDescent="0.2">
      <c r="A19" s="1" t="s">
        <v>127</v>
      </c>
      <c r="B19" s="1" t="s">
        <v>128</v>
      </c>
      <c r="C19" s="1" t="str">
        <f>gminy_26[[#This Row],[kod gminy]]</f>
        <v>2604053</v>
      </c>
      <c r="D19" s="1" t="s">
        <v>65</v>
      </c>
      <c r="E19" s="1" t="str">
        <f>VLOOKUP(gminy_26[[#This Row],[kod powiatu]],powiaty_26[],katalogi!$B$1,FALSE)</f>
        <v>kielecki</v>
      </c>
      <c r="F19" s="1" t="s">
        <v>60</v>
      </c>
      <c r="G19" s="1" t="str">
        <f>VLOOKUP(gminy_26[[#This Row],[kod strefy]],strefy_26[],2,FALSE)</f>
        <v>strefa świętokrzyska</v>
      </c>
      <c r="H19" s="35">
        <v>176290</v>
      </c>
      <c r="I19" s="35">
        <v>0</v>
      </c>
      <c r="J19" s="35">
        <v>6880</v>
      </c>
      <c r="K19" s="35">
        <v>12900</v>
      </c>
      <c r="L19" s="35">
        <v>14610</v>
      </c>
      <c r="M19" s="35">
        <v>44290</v>
      </c>
      <c r="N19" s="35">
        <v>44290</v>
      </c>
      <c r="O19" s="38">
        <v>53320</v>
      </c>
      <c r="P19" s="38">
        <v>1</v>
      </c>
      <c r="Q19" s="38">
        <v>20</v>
      </c>
    </row>
    <row r="20" spans="1:26" hidden="1" x14ac:dyDescent="0.2">
      <c r="A20" s="1" t="s">
        <v>129</v>
      </c>
      <c r="B20" s="1" t="s">
        <v>130</v>
      </c>
      <c r="C20" s="1" t="str">
        <f>gminy_26[[#This Row],[kod gminy]]</f>
        <v>2609022</v>
      </c>
      <c r="D20" s="1" t="s">
        <v>70</v>
      </c>
      <c r="E20" s="1" t="str">
        <f>VLOOKUP(gminy_26[[#This Row],[kod powiatu]],powiaty_26[],katalogi!$B$1,FALSE)</f>
        <v>sandomierski</v>
      </c>
      <c r="F20" s="1" t="s">
        <v>60</v>
      </c>
      <c r="G20" s="1" t="str">
        <f>VLOOKUP(gminy_26[[#This Row],[kod strefy]],strefy_26[],2,FALSE)</f>
        <v>strefa świętokrzyska</v>
      </c>
      <c r="H20" s="35">
        <v>46680</v>
      </c>
      <c r="I20" s="35">
        <v>0</v>
      </c>
      <c r="J20" s="35">
        <v>1590</v>
      </c>
      <c r="K20" s="35">
        <v>2970</v>
      </c>
      <c r="L20" s="35">
        <v>3370</v>
      </c>
      <c r="M20" s="35">
        <v>12020</v>
      </c>
      <c r="N20" s="35">
        <v>12020</v>
      </c>
      <c r="O20" s="38">
        <v>14710</v>
      </c>
      <c r="P20" s="38">
        <v>1</v>
      </c>
      <c r="Q20" s="38">
        <v>5</v>
      </c>
    </row>
    <row r="21" spans="1:26" hidden="1" x14ac:dyDescent="0.2">
      <c r="A21" s="1" t="s">
        <v>131</v>
      </c>
      <c r="B21" s="1" t="s">
        <v>132</v>
      </c>
      <c r="C21" s="1" t="str">
        <f>gminy_26[[#This Row],[kod gminy]]</f>
        <v>2608013</v>
      </c>
      <c r="D21" s="1" t="s">
        <v>69</v>
      </c>
      <c r="E21" s="1" t="str">
        <f>VLOOKUP(gminy_26[[#This Row],[kod powiatu]],powiaty_26[],katalogi!$B$1,FALSE)</f>
        <v>pińczowski</v>
      </c>
      <c r="F21" s="1" t="s">
        <v>60</v>
      </c>
      <c r="G21" s="1" t="str">
        <f>VLOOKUP(gminy_26[[#This Row],[kod strefy]],strefy_26[],2,FALSE)</f>
        <v>strefa świętokrzyska</v>
      </c>
      <c r="H21" s="35">
        <v>50980</v>
      </c>
      <c r="I21" s="35">
        <v>0</v>
      </c>
      <c r="J21" s="35">
        <v>550</v>
      </c>
      <c r="K21" s="35">
        <v>1020</v>
      </c>
      <c r="L21" s="35">
        <v>1160</v>
      </c>
      <c r="M21" s="35">
        <v>14610</v>
      </c>
      <c r="N21" s="35">
        <v>14610</v>
      </c>
      <c r="O21" s="38">
        <v>19030</v>
      </c>
      <c r="P21" s="38">
        <v>1</v>
      </c>
      <c r="Q21" s="38">
        <v>20</v>
      </c>
    </row>
    <row r="22" spans="1:26" hidden="1" x14ac:dyDescent="0.2">
      <c r="A22" s="1" t="s">
        <v>133</v>
      </c>
      <c r="B22" s="1" t="s">
        <v>134</v>
      </c>
      <c r="C22" s="1" t="str">
        <f>gminy_26[[#This Row],[kod gminy]]</f>
        <v>2605012</v>
      </c>
      <c r="D22" s="1" t="s">
        <v>66</v>
      </c>
      <c r="E22" s="1" t="str">
        <f>VLOOKUP(gminy_26[[#This Row],[kod powiatu]],powiaty_26[],katalogi!$B$1,FALSE)</f>
        <v>konecki</v>
      </c>
      <c r="F22" s="1" t="s">
        <v>60</v>
      </c>
      <c r="G22" s="1" t="str">
        <f>VLOOKUP(gminy_26[[#This Row],[kod strefy]],strefy_26[],2,FALSE)</f>
        <v>strefa świętokrzyska</v>
      </c>
      <c r="H22" s="35">
        <v>44320</v>
      </c>
      <c r="I22" s="35">
        <v>0</v>
      </c>
      <c r="J22" s="35">
        <v>1310</v>
      </c>
      <c r="K22" s="35">
        <v>2450</v>
      </c>
      <c r="L22" s="35">
        <v>2780</v>
      </c>
      <c r="M22" s="35">
        <v>11660</v>
      </c>
      <c r="N22" s="35">
        <v>11660</v>
      </c>
      <c r="O22" s="38">
        <v>14460</v>
      </c>
      <c r="P22" s="38">
        <v>1</v>
      </c>
      <c r="Q22" s="38">
        <v>5</v>
      </c>
    </row>
    <row r="23" spans="1:26" hidden="1" x14ac:dyDescent="0.2">
      <c r="A23" s="1" t="s">
        <v>135</v>
      </c>
      <c r="B23" s="1" t="s">
        <v>136</v>
      </c>
      <c r="C23" s="1" t="str">
        <f>gminy_26[[#This Row],[kod gminy]]</f>
        <v>2601022</v>
      </c>
      <c r="D23" s="1" t="s">
        <v>62</v>
      </c>
      <c r="E23" s="1" t="str">
        <f>VLOOKUP(gminy_26[[#This Row],[kod powiatu]],powiaty_26[],katalogi!$B$1,FALSE)</f>
        <v>buski</v>
      </c>
      <c r="F23" s="1" t="s">
        <v>60</v>
      </c>
      <c r="G23" s="1" t="str">
        <f>VLOOKUP(gminy_26[[#This Row],[kod strefy]],strefy_26[],2,FALSE)</f>
        <v>strefa świętokrzyska</v>
      </c>
      <c r="H23" s="35">
        <v>47190</v>
      </c>
      <c r="I23" s="35">
        <v>0</v>
      </c>
      <c r="J23" s="35">
        <v>1980</v>
      </c>
      <c r="K23" s="35">
        <v>3710</v>
      </c>
      <c r="L23" s="35">
        <v>4210</v>
      </c>
      <c r="M23" s="35">
        <v>11680</v>
      </c>
      <c r="N23" s="35">
        <v>11680</v>
      </c>
      <c r="O23" s="38">
        <v>13930</v>
      </c>
      <c r="P23" s="38">
        <v>1</v>
      </c>
      <c r="Q23" s="38">
        <v>5</v>
      </c>
    </row>
    <row r="24" spans="1:26" hidden="1" x14ac:dyDescent="0.2">
      <c r="A24" s="1" t="s">
        <v>137</v>
      </c>
      <c r="B24" s="1" t="s">
        <v>138</v>
      </c>
      <c r="C24" s="1" t="str">
        <f>gminy_26[[#This Row],[kod gminy]]</f>
        <v>2605022</v>
      </c>
      <c r="D24" s="1" t="s">
        <v>66</v>
      </c>
      <c r="E24" s="1" t="str">
        <f>VLOOKUP(gminy_26[[#This Row],[kod powiatu]],powiaty_26[],katalogi!$B$1,FALSE)</f>
        <v>konecki</v>
      </c>
      <c r="F24" s="1" t="s">
        <v>60</v>
      </c>
      <c r="G24" s="1" t="str">
        <f>VLOOKUP(gminy_26[[#This Row],[kod strefy]],strefy_26[],2,FALSE)</f>
        <v>strefa świętokrzyska</v>
      </c>
      <c r="H24" s="35">
        <v>43750</v>
      </c>
      <c r="I24" s="35">
        <v>0</v>
      </c>
      <c r="J24" s="35">
        <v>1310</v>
      </c>
      <c r="K24" s="35">
        <v>2450</v>
      </c>
      <c r="L24" s="35">
        <v>2780</v>
      </c>
      <c r="M24" s="35">
        <v>11490</v>
      </c>
      <c r="N24" s="35">
        <v>11490</v>
      </c>
      <c r="O24" s="38">
        <v>14230</v>
      </c>
      <c r="P24" s="38">
        <v>1</v>
      </c>
      <c r="Q24" s="38">
        <v>5</v>
      </c>
    </row>
    <row r="25" spans="1:26" x14ac:dyDescent="0.2">
      <c r="A25" s="1" t="s">
        <v>139</v>
      </c>
      <c r="B25" s="1" t="s">
        <v>140</v>
      </c>
      <c r="C25" s="1" t="str">
        <f>gminy_26[[#This Row],[kod gminy]]</f>
        <v>2604062</v>
      </c>
      <c r="D25" s="1" t="s">
        <v>65</v>
      </c>
      <c r="E25" s="1" t="str">
        <f>VLOOKUP(gminy_26[[#This Row],[kod powiatu]],powiaty_26[],katalogi!$B$1,FALSE)</f>
        <v>kielecki</v>
      </c>
      <c r="F25" s="1" t="s">
        <v>60</v>
      </c>
      <c r="G25" s="1" t="str">
        <f>VLOOKUP(gminy_26[[#This Row],[kod strefy]],strefy_26[],2,FALSE)</f>
        <v>strefa świętokrzyska</v>
      </c>
      <c r="H25" s="35">
        <v>169880</v>
      </c>
      <c r="I25" s="35">
        <v>0</v>
      </c>
      <c r="J25" s="35">
        <v>6720</v>
      </c>
      <c r="K25" s="35">
        <v>12590</v>
      </c>
      <c r="L25" s="35">
        <v>14260</v>
      </c>
      <c r="M25" s="35">
        <v>42570</v>
      </c>
      <c r="N25" s="35">
        <v>42570</v>
      </c>
      <c r="O25" s="38">
        <v>51170</v>
      </c>
      <c r="P25" s="38">
        <v>1</v>
      </c>
      <c r="Q25" s="38">
        <v>5</v>
      </c>
    </row>
    <row r="26" spans="1:26" hidden="1" x14ac:dyDescent="0.2">
      <c r="A26" s="1" t="s">
        <v>141</v>
      </c>
      <c r="B26" s="1" t="s">
        <v>142</v>
      </c>
      <c r="C26" s="1" t="str">
        <f>gminy_26[[#This Row],[kod gminy]]</f>
        <v>2602012</v>
      </c>
      <c r="D26" s="1" t="s">
        <v>63</v>
      </c>
      <c r="E26" s="1" t="str">
        <f>VLOOKUP(gminy_26[[#This Row],[kod powiatu]],powiaty_26[],katalogi!$B$1,FALSE)</f>
        <v>jędrzejowski</v>
      </c>
      <c r="F26" s="1" t="s">
        <v>60</v>
      </c>
      <c r="G26" s="1" t="str">
        <f>VLOOKUP(gminy_26[[#This Row],[kod strefy]],strefy_26[],2,FALSE)</f>
        <v>strefa świętokrzyska</v>
      </c>
      <c r="H26" s="35">
        <v>47020</v>
      </c>
      <c r="I26" s="35">
        <v>0</v>
      </c>
      <c r="J26" s="35">
        <v>1960</v>
      </c>
      <c r="K26" s="35">
        <v>3670</v>
      </c>
      <c r="L26" s="35">
        <v>4160</v>
      </c>
      <c r="M26" s="35">
        <v>11660</v>
      </c>
      <c r="N26" s="35">
        <v>11660</v>
      </c>
      <c r="O26" s="38">
        <v>13910</v>
      </c>
      <c r="P26" s="38">
        <v>1</v>
      </c>
      <c r="Q26" s="38">
        <v>5</v>
      </c>
    </row>
    <row r="27" spans="1:26" hidden="1" x14ac:dyDescent="0.2">
      <c r="A27" s="1" t="s">
        <v>143</v>
      </c>
      <c r="B27" s="1" t="s">
        <v>144</v>
      </c>
      <c r="C27" s="1" t="str">
        <f>gminy_26[[#This Row],[kod gminy]]</f>
        <v>2606022</v>
      </c>
      <c r="D27" s="1" t="s">
        <v>67</v>
      </c>
      <c r="E27" s="1" t="str">
        <f>VLOOKUP(gminy_26[[#This Row],[kod powiatu]],powiaty_26[],katalogi!$B$1,FALSE)</f>
        <v>opatowski</v>
      </c>
      <c r="F27" s="1" t="s">
        <v>60</v>
      </c>
      <c r="G27" s="1" t="str">
        <f>VLOOKUP(gminy_26[[#This Row],[kod strefy]],strefy_26[],2,FALSE)</f>
        <v>strefa świętokrzyska</v>
      </c>
      <c r="H27" s="35">
        <v>46870</v>
      </c>
      <c r="I27" s="35">
        <v>0</v>
      </c>
      <c r="J27" s="35">
        <v>410</v>
      </c>
      <c r="K27" s="35">
        <v>760</v>
      </c>
      <c r="L27" s="35">
        <v>870</v>
      </c>
      <c r="M27" s="35">
        <v>13550</v>
      </c>
      <c r="N27" s="35">
        <v>13550</v>
      </c>
      <c r="O27" s="38">
        <v>17730</v>
      </c>
      <c r="P27" s="38">
        <v>1</v>
      </c>
      <c r="Q27" s="38">
        <v>20</v>
      </c>
    </row>
    <row r="28" spans="1:26" hidden="1" x14ac:dyDescent="0.2">
      <c r="A28" s="1" t="s">
        <v>145</v>
      </c>
      <c r="B28" s="1" t="s">
        <v>146</v>
      </c>
      <c r="C28" s="1" t="str">
        <f>gminy_26[[#This Row],[kod gminy]]</f>
        <v>2602023</v>
      </c>
      <c r="D28" s="1" t="s">
        <v>63</v>
      </c>
      <c r="E28" s="1" t="str">
        <f>VLOOKUP(gminy_26[[#This Row],[kod powiatu]],powiaty_26[],katalogi!$B$1,FALSE)</f>
        <v>jędrzejowski</v>
      </c>
      <c r="F28" s="1" t="s">
        <v>60</v>
      </c>
      <c r="G28" s="1" t="str">
        <f>VLOOKUP(gminy_26[[#This Row],[kod strefy]],strefy_26[],2,FALSE)</f>
        <v>strefa świętokrzyska</v>
      </c>
      <c r="H28" s="35">
        <v>234240</v>
      </c>
      <c r="I28" s="35">
        <v>0</v>
      </c>
      <c r="J28" s="35">
        <v>9980</v>
      </c>
      <c r="K28" s="35">
        <v>18700</v>
      </c>
      <c r="L28" s="35">
        <v>21200</v>
      </c>
      <c r="M28" s="35">
        <v>57800</v>
      </c>
      <c r="N28" s="35">
        <v>57800</v>
      </c>
      <c r="O28" s="38">
        <v>68760</v>
      </c>
      <c r="P28" s="38">
        <v>1</v>
      </c>
      <c r="Q28" s="38">
        <v>20</v>
      </c>
    </row>
    <row r="29" spans="1:26" hidden="1" x14ac:dyDescent="0.2">
      <c r="A29" s="1" t="s">
        <v>147</v>
      </c>
      <c r="B29" s="1" t="s">
        <v>148</v>
      </c>
      <c r="C29" s="1" t="str">
        <f>gminy_26[[#This Row],[kod gminy]]</f>
        <v>2603033</v>
      </c>
      <c r="D29" s="1" t="s">
        <v>64</v>
      </c>
      <c r="E29" s="1" t="str">
        <f>VLOOKUP(gminy_26[[#This Row],[kod powiatu]],powiaty_26[],katalogi!$B$1,FALSE)</f>
        <v>kazimierski</v>
      </c>
      <c r="F29" s="1" t="s">
        <v>60</v>
      </c>
      <c r="G29" s="1" t="str">
        <f>VLOOKUP(gminy_26[[#This Row],[kod strefy]],strefy_26[],2,FALSE)</f>
        <v>strefa świętokrzyska</v>
      </c>
      <c r="H29" s="35">
        <v>114160</v>
      </c>
      <c r="I29" s="35">
        <v>0</v>
      </c>
      <c r="J29" s="35">
        <v>3240</v>
      </c>
      <c r="K29" s="35">
        <v>6070</v>
      </c>
      <c r="L29" s="35">
        <v>6880</v>
      </c>
      <c r="M29" s="35">
        <v>30200</v>
      </c>
      <c r="N29" s="35">
        <v>30200</v>
      </c>
      <c r="O29" s="38">
        <v>37570</v>
      </c>
      <c r="P29" s="38">
        <v>1</v>
      </c>
      <c r="Q29" s="38">
        <v>20</v>
      </c>
    </row>
    <row r="30" spans="1:26" hidden="1" x14ac:dyDescent="0.2">
      <c r="A30" s="1" t="s">
        <v>149</v>
      </c>
      <c r="B30" s="1" t="s">
        <v>150</v>
      </c>
      <c r="C30" s="1" t="str">
        <f>gminy_26[[#This Row],[kod gminy]]</f>
        <v>2608022</v>
      </c>
      <c r="D30" s="1" t="s">
        <v>69</v>
      </c>
      <c r="E30" s="1" t="str">
        <f>VLOOKUP(gminy_26[[#This Row],[kod powiatu]],powiaty_26[],katalogi!$B$1,FALSE)</f>
        <v>pińczowski</v>
      </c>
      <c r="F30" s="1" t="s">
        <v>60</v>
      </c>
      <c r="G30" s="1" t="str">
        <f>VLOOKUP(gminy_26[[#This Row],[kod strefy]],strefy_26[],2,FALSE)</f>
        <v>strefa świętokrzyska</v>
      </c>
      <c r="H30" s="35">
        <v>46660</v>
      </c>
      <c r="I30" s="35">
        <v>0</v>
      </c>
      <c r="J30" s="35">
        <v>540</v>
      </c>
      <c r="K30" s="35">
        <v>1000</v>
      </c>
      <c r="L30" s="35">
        <v>1130</v>
      </c>
      <c r="M30" s="35">
        <v>13330</v>
      </c>
      <c r="N30" s="35">
        <v>13330</v>
      </c>
      <c r="O30" s="38">
        <v>17330</v>
      </c>
      <c r="P30" s="38">
        <v>1</v>
      </c>
      <c r="Q30" s="38">
        <v>5</v>
      </c>
    </row>
    <row r="31" spans="1:26" hidden="1" x14ac:dyDescent="0.2">
      <c r="A31" s="1" t="s">
        <v>151</v>
      </c>
      <c r="B31" s="1" t="s">
        <v>152</v>
      </c>
      <c r="C31" s="1" t="str">
        <f>gminy_26[[#This Row],[kod gminy]]</f>
        <v>2609032</v>
      </c>
      <c r="D31" s="1" t="s">
        <v>70</v>
      </c>
      <c r="E31" s="1" t="str">
        <f>VLOOKUP(gminy_26[[#This Row],[kod powiatu]],powiaty_26[],katalogi!$B$1,FALSE)</f>
        <v>sandomierski</v>
      </c>
      <c r="F31" s="1" t="s">
        <v>60</v>
      </c>
      <c r="G31" s="1" t="str">
        <f>VLOOKUP(gminy_26[[#This Row],[kod strefy]],strefy_26[],2,FALSE)</f>
        <v>strefa świętokrzyska</v>
      </c>
      <c r="H31" s="35">
        <v>49370</v>
      </c>
      <c r="I31" s="35">
        <v>0</v>
      </c>
      <c r="J31" s="35">
        <v>1660</v>
      </c>
      <c r="K31" s="35">
        <v>3100</v>
      </c>
      <c r="L31" s="35">
        <v>3520</v>
      </c>
      <c r="M31" s="35">
        <v>12740</v>
      </c>
      <c r="N31" s="35">
        <v>12740</v>
      </c>
      <c r="O31" s="38">
        <v>15610</v>
      </c>
      <c r="P31" s="38">
        <v>1</v>
      </c>
      <c r="Q31" s="38">
        <v>20</v>
      </c>
    </row>
    <row r="32" spans="1:26" hidden="1" x14ac:dyDescent="0.2">
      <c r="A32" s="1" t="s">
        <v>153</v>
      </c>
      <c r="B32" s="1" t="s">
        <v>154</v>
      </c>
      <c r="C32" s="1" t="str">
        <f>gminy_26[[#This Row],[kod gminy]]</f>
        <v>2613012</v>
      </c>
      <c r="D32" s="1" t="s">
        <v>74</v>
      </c>
      <c r="E32" s="1" t="str">
        <f>VLOOKUP(gminy_26[[#This Row],[kod powiatu]],powiaty_26[],katalogi!$B$1,FALSE)</f>
        <v>włoszczowski</v>
      </c>
      <c r="F32" s="1" t="s">
        <v>60</v>
      </c>
      <c r="G32" s="1" t="str">
        <f>VLOOKUP(gminy_26[[#This Row],[kod strefy]],strefy_26[],2,FALSE)</f>
        <v>strefa świętokrzyska</v>
      </c>
      <c r="H32" s="35">
        <v>42330</v>
      </c>
      <c r="I32" s="35">
        <v>0</v>
      </c>
      <c r="J32" s="35">
        <v>690</v>
      </c>
      <c r="K32" s="35">
        <v>1290</v>
      </c>
      <c r="L32" s="35">
        <v>1460</v>
      </c>
      <c r="M32" s="35">
        <v>11840</v>
      </c>
      <c r="N32" s="35">
        <v>11840</v>
      </c>
      <c r="O32" s="38">
        <v>15210</v>
      </c>
      <c r="P32" s="38">
        <v>1</v>
      </c>
      <c r="Q32" s="38">
        <v>5</v>
      </c>
    </row>
    <row r="33" spans="1:17" hidden="1" x14ac:dyDescent="0.2">
      <c r="A33" s="1" t="s">
        <v>155</v>
      </c>
      <c r="B33" s="1" t="s">
        <v>156</v>
      </c>
      <c r="C33" s="1" t="str">
        <f>gminy_26[[#This Row],[kod gminy]]</f>
        <v>2605033</v>
      </c>
      <c r="D33" s="1" t="s">
        <v>66</v>
      </c>
      <c r="E33" s="1" t="str">
        <f>VLOOKUP(gminy_26[[#This Row],[kod powiatu]],powiaty_26[],katalogi!$B$1,FALSE)</f>
        <v>konecki</v>
      </c>
      <c r="F33" s="1" t="s">
        <v>60</v>
      </c>
      <c r="G33" s="1" t="str">
        <f>VLOOKUP(gminy_26[[#This Row],[kod strefy]],strefy_26[],2,FALSE)</f>
        <v>strefa świętokrzyska</v>
      </c>
      <c r="H33" s="35">
        <v>265920</v>
      </c>
      <c r="I33" s="35">
        <v>0</v>
      </c>
      <c r="J33" s="35">
        <v>8060</v>
      </c>
      <c r="K33" s="35">
        <v>15100</v>
      </c>
      <c r="L33" s="35">
        <v>17110</v>
      </c>
      <c r="M33" s="35">
        <v>69710</v>
      </c>
      <c r="N33" s="35">
        <v>69710</v>
      </c>
      <c r="O33" s="38">
        <v>86230</v>
      </c>
      <c r="P33" s="38">
        <v>1</v>
      </c>
      <c r="Q33" s="38">
        <v>20</v>
      </c>
    </row>
    <row r="34" spans="1:17" hidden="1" x14ac:dyDescent="0.2">
      <c r="A34" s="1" t="s">
        <v>157</v>
      </c>
      <c r="B34" s="1" t="s">
        <v>158</v>
      </c>
      <c r="C34" s="1" t="str">
        <f>gminy_26[[#This Row],[kod gminy]]</f>
        <v>2609043</v>
      </c>
      <c r="D34" s="1" t="s">
        <v>70</v>
      </c>
      <c r="E34" s="1" t="str">
        <f>VLOOKUP(gminy_26[[#This Row],[kod powiatu]],powiaty_26[],katalogi!$B$1,FALSE)</f>
        <v>sandomierski</v>
      </c>
      <c r="F34" s="1" t="s">
        <v>60</v>
      </c>
      <c r="G34" s="1" t="str">
        <f>VLOOKUP(gminy_26[[#This Row],[kod strefy]],strefy_26[],2,FALSE)</f>
        <v>strefa świętokrzyska</v>
      </c>
      <c r="H34" s="35">
        <v>35130</v>
      </c>
      <c r="I34" s="35">
        <v>0</v>
      </c>
      <c r="J34" s="35">
        <v>1170</v>
      </c>
      <c r="K34" s="35">
        <v>2190</v>
      </c>
      <c r="L34" s="35">
        <v>2480</v>
      </c>
      <c r="M34" s="35">
        <v>9080</v>
      </c>
      <c r="N34" s="35">
        <v>9080</v>
      </c>
      <c r="O34" s="38">
        <v>11130</v>
      </c>
      <c r="P34" s="38">
        <v>1</v>
      </c>
      <c r="Q34" s="38">
        <v>20</v>
      </c>
    </row>
    <row r="35" spans="1:17" hidden="1" x14ac:dyDescent="0.2">
      <c r="A35" s="1" t="s">
        <v>159</v>
      </c>
      <c r="B35" s="1" t="s">
        <v>160</v>
      </c>
      <c r="C35" s="1" t="str">
        <f>gminy_26[[#This Row],[kod gminy]]</f>
        <v>2613022</v>
      </c>
      <c r="D35" s="1" t="s">
        <v>74</v>
      </c>
      <c r="E35" s="1" t="str">
        <f>VLOOKUP(gminy_26[[#This Row],[kod powiatu]],powiaty_26[],katalogi!$B$1,FALSE)</f>
        <v>włoszczowski</v>
      </c>
      <c r="F35" s="1" t="s">
        <v>60</v>
      </c>
      <c r="G35" s="1" t="str">
        <f>VLOOKUP(gminy_26[[#This Row],[kod strefy]],strefy_26[],2,FALSE)</f>
        <v>strefa świętokrzyska</v>
      </c>
      <c r="H35" s="35">
        <v>87860</v>
      </c>
      <c r="I35" s="35">
        <v>0</v>
      </c>
      <c r="J35" s="35">
        <v>1480</v>
      </c>
      <c r="K35" s="35">
        <v>2770</v>
      </c>
      <c r="L35" s="35">
        <v>3140</v>
      </c>
      <c r="M35" s="35">
        <v>24510</v>
      </c>
      <c r="N35" s="35">
        <v>24510</v>
      </c>
      <c r="O35" s="38">
        <v>31450</v>
      </c>
      <c r="P35" s="38">
        <v>1</v>
      </c>
      <c r="Q35" s="38">
        <v>5</v>
      </c>
    </row>
    <row r="36" spans="1:17" hidden="1" x14ac:dyDescent="0.2">
      <c r="A36" s="1" t="s">
        <v>161</v>
      </c>
      <c r="B36" s="1" t="s">
        <v>162</v>
      </c>
      <c r="C36" s="1" t="str">
        <f>gminy_26[[#This Row],[kod gminy]]</f>
        <v>2607053</v>
      </c>
      <c r="D36" s="1" t="s">
        <v>68</v>
      </c>
      <c r="E36" s="1" t="str">
        <f>VLOOKUP(gminy_26[[#This Row],[kod powiatu]],powiaty_26[],katalogi!$B$1,FALSE)</f>
        <v>ostrowiecki</v>
      </c>
      <c r="F36" s="1" t="s">
        <v>60</v>
      </c>
      <c r="G36" s="1" t="str">
        <f>VLOOKUP(gminy_26[[#This Row],[kod strefy]],strefy_26[],2,FALSE)</f>
        <v>strefa świętokrzyska</v>
      </c>
      <c r="H36" s="35">
        <v>95090</v>
      </c>
      <c r="I36" s="35">
        <v>0</v>
      </c>
      <c r="J36" s="35">
        <v>4080</v>
      </c>
      <c r="K36" s="35">
        <v>7650</v>
      </c>
      <c r="L36" s="35">
        <v>8670</v>
      </c>
      <c r="M36" s="35">
        <v>23430</v>
      </c>
      <c r="N36" s="35">
        <v>23430</v>
      </c>
      <c r="O36" s="38">
        <v>27830</v>
      </c>
      <c r="P36" s="38">
        <v>1</v>
      </c>
      <c r="Q36" s="38">
        <v>20</v>
      </c>
    </row>
    <row r="37" spans="1:17" hidden="1" x14ac:dyDescent="0.2">
      <c r="A37" s="1" t="s">
        <v>163</v>
      </c>
      <c r="B37" s="1" t="s">
        <v>164</v>
      </c>
      <c r="C37" s="1" t="str">
        <f>gminy_26[[#This Row],[kod gminy]]</f>
        <v>2606032</v>
      </c>
      <c r="D37" s="1" t="s">
        <v>67</v>
      </c>
      <c r="E37" s="1" t="str">
        <f>VLOOKUP(gminy_26[[#This Row],[kod powiatu]],powiaty_26[],katalogi!$B$1,FALSE)</f>
        <v>opatowski</v>
      </c>
      <c r="F37" s="1" t="s">
        <v>60</v>
      </c>
      <c r="G37" s="1" t="str">
        <f>VLOOKUP(gminy_26[[#This Row],[kod strefy]],strefy_26[],2,FALSE)</f>
        <v>strefa świętokrzyska</v>
      </c>
      <c r="H37" s="35">
        <v>31150</v>
      </c>
      <c r="I37" s="35">
        <v>0</v>
      </c>
      <c r="J37" s="35">
        <v>270</v>
      </c>
      <c r="K37" s="35">
        <v>500</v>
      </c>
      <c r="L37" s="35">
        <v>570</v>
      </c>
      <c r="M37" s="35">
        <v>9010</v>
      </c>
      <c r="N37" s="35">
        <v>9010</v>
      </c>
      <c r="O37" s="38">
        <v>11790</v>
      </c>
      <c r="P37" s="38">
        <v>1</v>
      </c>
      <c r="Q37" s="38">
        <v>5</v>
      </c>
    </row>
    <row r="38" spans="1:17" x14ac:dyDescent="0.2">
      <c r="A38" s="1" t="s">
        <v>165</v>
      </c>
      <c r="B38" s="1" t="s">
        <v>166</v>
      </c>
      <c r="C38" s="1" t="str">
        <f>gminy_26[[#This Row],[kod gminy]]</f>
        <v>2604073</v>
      </c>
      <c r="D38" s="1" t="s">
        <v>65</v>
      </c>
      <c r="E38" s="1" t="str">
        <f>VLOOKUP(gminy_26[[#This Row],[kod powiatu]],powiaty_26[],katalogi!$B$1,FALSE)</f>
        <v>kielecki</v>
      </c>
      <c r="F38" s="1" t="s">
        <v>60</v>
      </c>
      <c r="G38" s="1" t="str">
        <f>VLOOKUP(gminy_26[[#This Row],[kod strefy]],strefy_26[],2,FALSE)</f>
        <v>strefa świętokrzyska</v>
      </c>
      <c r="H38" s="35">
        <v>82040</v>
      </c>
      <c r="I38" s="35">
        <v>0</v>
      </c>
      <c r="J38" s="35">
        <v>3270</v>
      </c>
      <c r="K38" s="35">
        <v>6120</v>
      </c>
      <c r="L38" s="35">
        <v>6940</v>
      </c>
      <c r="M38" s="35">
        <v>20530</v>
      </c>
      <c r="N38" s="35">
        <v>20530</v>
      </c>
      <c r="O38" s="38">
        <v>24650</v>
      </c>
      <c r="P38" s="38">
        <v>1</v>
      </c>
      <c r="Q38" s="38">
        <v>20</v>
      </c>
    </row>
    <row r="39" spans="1:17" hidden="1" x14ac:dyDescent="0.2">
      <c r="A39" s="1" t="s">
        <v>167</v>
      </c>
      <c r="B39" s="1" t="s">
        <v>168</v>
      </c>
      <c r="C39" s="1" t="str">
        <f>gminy_26[[#This Row],[kod gminy]]</f>
        <v>2610032</v>
      </c>
      <c r="D39" s="1" t="s">
        <v>71</v>
      </c>
      <c r="E39" s="1" t="str">
        <f>VLOOKUP(gminy_26[[#This Row],[kod powiatu]],powiaty_26[],katalogi!$B$1,FALSE)</f>
        <v>skarżyski</v>
      </c>
      <c r="F39" s="1" t="s">
        <v>60</v>
      </c>
      <c r="G39" s="1" t="str">
        <f>VLOOKUP(gminy_26[[#This Row],[kod strefy]],strefy_26[],2,FALSE)</f>
        <v>strefa świętokrzyska</v>
      </c>
      <c r="H39" s="35">
        <v>57850</v>
      </c>
      <c r="I39" s="35">
        <v>0</v>
      </c>
      <c r="J39" s="35">
        <v>1520</v>
      </c>
      <c r="K39" s="35">
        <v>2840</v>
      </c>
      <c r="L39" s="35">
        <v>3220</v>
      </c>
      <c r="M39" s="35">
        <v>15460</v>
      </c>
      <c r="N39" s="35">
        <v>15460</v>
      </c>
      <c r="O39" s="38">
        <v>19350</v>
      </c>
      <c r="P39" s="38">
        <v>1</v>
      </c>
      <c r="Q39" s="38">
        <v>5</v>
      </c>
    </row>
    <row r="40" spans="1:17" hidden="1" x14ac:dyDescent="0.2">
      <c r="A40" s="1" t="s">
        <v>169</v>
      </c>
      <c r="B40" s="1" t="s">
        <v>170</v>
      </c>
      <c r="C40" s="1" t="str">
        <f>gminy_26[[#This Row],[kod gminy]]</f>
        <v>2609052</v>
      </c>
      <c r="D40" s="1" t="s">
        <v>70</v>
      </c>
      <c r="E40" s="1" t="str">
        <f>VLOOKUP(gminy_26[[#This Row],[kod powiatu]],powiaty_26[],katalogi!$B$1,FALSE)</f>
        <v>sandomierski</v>
      </c>
      <c r="F40" s="1" t="s">
        <v>60</v>
      </c>
      <c r="G40" s="1" t="str">
        <f>VLOOKUP(gminy_26[[#This Row],[kod strefy]],strefy_26[],2,FALSE)</f>
        <v>strefa świętokrzyska</v>
      </c>
      <c r="H40" s="35">
        <v>43970</v>
      </c>
      <c r="I40" s="35">
        <v>0</v>
      </c>
      <c r="J40" s="35">
        <v>1480</v>
      </c>
      <c r="K40" s="35">
        <v>2760</v>
      </c>
      <c r="L40" s="35">
        <v>3130</v>
      </c>
      <c r="M40" s="35">
        <v>11350</v>
      </c>
      <c r="N40" s="35">
        <v>11350</v>
      </c>
      <c r="O40" s="38">
        <v>13900</v>
      </c>
      <c r="P40" s="38">
        <v>1</v>
      </c>
      <c r="Q40" s="38">
        <v>5</v>
      </c>
    </row>
    <row r="41" spans="1:17" x14ac:dyDescent="0.2">
      <c r="A41" s="1" t="s">
        <v>171</v>
      </c>
      <c r="B41" s="1" t="s">
        <v>172</v>
      </c>
      <c r="C41" s="1" t="str">
        <f>gminy_26[[#This Row],[kod gminy]]</f>
        <v>2604082</v>
      </c>
      <c r="D41" s="1" t="s">
        <v>65</v>
      </c>
      <c r="E41" s="1" t="str">
        <f>VLOOKUP(gminy_26[[#This Row],[kod powiatu]],powiaty_26[],katalogi!$B$1,FALSE)</f>
        <v>kielecki</v>
      </c>
      <c r="F41" s="1" t="s">
        <v>60</v>
      </c>
      <c r="G41" s="1" t="str">
        <f>VLOOKUP(gminy_26[[#This Row],[kod strefy]],strefy_26[],2,FALSE)</f>
        <v>strefa świętokrzyska</v>
      </c>
      <c r="H41" s="35">
        <v>107740</v>
      </c>
      <c r="I41" s="35">
        <v>0</v>
      </c>
      <c r="J41" s="35">
        <v>4300</v>
      </c>
      <c r="K41" s="35">
        <v>8060</v>
      </c>
      <c r="L41" s="35">
        <v>9130</v>
      </c>
      <c r="M41" s="35">
        <v>26950</v>
      </c>
      <c r="N41" s="35">
        <v>26950</v>
      </c>
      <c r="O41" s="38">
        <v>32350</v>
      </c>
      <c r="P41" s="38">
        <v>1</v>
      </c>
      <c r="Q41" s="38">
        <v>20</v>
      </c>
    </row>
    <row r="42" spans="1:17" hidden="1" x14ac:dyDescent="0.2">
      <c r="A42" s="1" t="s">
        <v>173</v>
      </c>
      <c r="B42" s="1" t="s">
        <v>174</v>
      </c>
      <c r="C42" s="1" t="str">
        <f>gminy_26[[#This Row],[kod gminy]]</f>
        <v>2612022</v>
      </c>
      <c r="D42" s="1" t="s">
        <v>73</v>
      </c>
      <c r="E42" s="1" t="str">
        <f>VLOOKUP(gminy_26[[#This Row],[kod powiatu]],powiaty_26[],katalogi!$B$1,FALSE)</f>
        <v>staszowski</v>
      </c>
      <c r="F42" s="1" t="s">
        <v>60</v>
      </c>
      <c r="G42" s="1" t="str">
        <f>VLOOKUP(gminy_26[[#This Row],[kod strefy]],strefy_26[],2,FALSE)</f>
        <v>strefa świętokrzyska</v>
      </c>
      <c r="H42" s="35">
        <v>41970</v>
      </c>
      <c r="I42" s="35">
        <v>0</v>
      </c>
      <c r="J42" s="35">
        <v>2440</v>
      </c>
      <c r="K42" s="35">
        <v>4580</v>
      </c>
      <c r="L42" s="35">
        <v>5180</v>
      </c>
      <c r="M42" s="35">
        <v>9540</v>
      </c>
      <c r="N42" s="35">
        <v>9540</v>
      </c>
      <c r="O42" s="38">
        <v>10690</v>
      </c>
      <c r="P42" s="38">
        <v>1</v>
      </c>
      <c r="Q42" s="38">
        <v>5</v>
      </c>
    </row>
    <row r="43" spans="1:17" hidden="1" x14ac:dyDescent="0.2">
      <c r="A43" s="1" t="s">
        <v>175</v>
      </c>
      <c r="B43" s="1" t="s">
        <v>176</v>
      </c>
      <c r="C43" s="1" t="str">
        <f>gminy_26[[#This Row],[kod gminy]]</f>
        <v>2602033</v>
      </c>
      <c r="D43" s="1" t="s">
        <v>63</v>
      </c>
      <c r="E43" s="1" t="str">
        <f>VLOOKUP(gminy_26[[#This Row],[kod powiatu]],powiaty_26[],katalogi!$B$1,FALSE)</f>
        <v>jędrzejowski</v>
      </c>
      <c r="F43" s="1" t="s">
        <v>60</v>
      </c>
      <c r="G43" s="1" t="str">
        <f>VLOOKUP(gminy_26[[#This Row],[kod strefy]],strefy_26[],2,FALSE)</f>
        <v>strefa świętokrzyska</v>
      </c>
      <c r="H43" s="35">
        <v>124450</v>
      </c>
      <c r="I43" s="35">
        <v>0</v>
      </c>
      <c r="J43" s="35">
        <v>5290</v>
      </c>
      <c r="K43" s="35">
        <v>9920</v>
      </c>
      <c r="L43" s="35">
        <v>11250</v>
      </c>
      <c r="M43" s="35">
        <v>30720</v>
      </c>
      <c r="N43" s="35">
        <v>30720</v>
      </c>
      <c r="O43" s="38">
        <v>36550</v>
      </c>
      <c r="P43" s="38">
        <v>1</v>
      </c>
      <c r="Q43" s="38">
        <v>20</v>
      </c>
    </row>
    <row r="44" spans="1:17" x14ac:dyDescent="0.2">
      <c r="A44" s="1" t="s">
        <v>177</v>
      </c>
      <c r="B44" s="1" t="s">
        <v>178</v>
      </c>
      <c r="C44" s="1" t="str">
        <f>gminy_26[[#This Row],[kod gminy]]</f>
        <v>2604092</v>
      </c>
      <c r="D44" s="1" t="s">
        <v>65</v>
      </c>
      <c r="E44" s="1" t="str">
        <f>VLOOKUP(gminy_26[[#This Row],[kod powiatu]],powiaty_26[],katalogi!$B$1,FALSE)</f>
        <v>kielecki</v>
      </c>
      <c r="F44" s="1" t="s">
        <v>60</v>
      </c>
      <c r="G44" s="1" t="str">
        <f>VLOOKUP(gminy_26[[#This Row],[kod strefy]],strefy_26[],2,FALSE)</f>
        <v>strefa świętokrzyska</v>
      </c>
      <c r="H44" s="35">
        <v>121970</v>
      </c>
      <c r="I44" s="35">
        <v>0</v>
      </c>
      <c r="J44" s="35">
        <v>4710</v>
      </c>
      <c r="K44" s="35">
        <v>8820</v>
      </c>
      <c r="L44" s="35">
        <v>10000</v>
      </c>
      <c r="M44" s="35">
        <v>30710</v>
      </c>
      <c r="N44" s="35">
        <v>30710</v>
      </c>
      <c r="O44" s="38">
        <v>37020</v>
      </c>
      <c r="P44" s="38">
        <v>1</v>
      </c>
      <c r="Q44" s="38">
        <v>5</v>
      </c>
    </row>
    <row r="45" spans="1:17" hidden="1" x14ac:dyDescent="0.2">
      <c r="A45" s="1" t="s">
        <v>179</v>
      </c>
      <c r="B45" s="1" t="s">
        <v>180</v>
      </c>
      <c r="C45" s="1" t="str">
        <f>gminy_26[[#This Row],[kod gminy]]</f>
        <v>2608032</v>
      </c>
      <c r="D45" s="1" t="s">
        <v>69</v>
      </c>
      <c r="E45" s="1" t="str">
        <f>VLOOKUP(gminy_26[[#This Row],[kod powiatu]],powiaty_26[],katalogi!$B$1,FALSE)</f>
        <v>pińczowski</v>
      </c>
      <c r="F45" s="1" t="s">
        <v>60</v>
      </c>
      <c r="G45" s="1" t="str">
        <f>VLOOKUP(gminy_26[[#This Row],[kod strefy]],strefy_26[],2,FALSE)</f>
        <v>strefa świętokrzyska</v>
      </c>
      <c r="H45" s="35">
        <v>49620</v>
      </c>
      <c r="I45" s="35">
        <v>0</v>
      </c>
      <c r="J45" s="35">
        <v>610</v>
      </c>
      <c r="K45" s="35">
        <v>1150</v>
      </c>
      <c r="L45" s="35">
        <v>1300</v>
      </c>
      <c r="M45" s="35">
        <v>14120</v>
      </c>
      <c r="N45" s="35">
        <v>14120</v>
      </c>
      <c r="O45" s="38">
        <v>18320</v>
      </c>
      <c r="P45" s="38">
        <v>1</v>
      </c>
      <c r="Q45" s="38">
        <v>5</v>
      </c>
    </row>
    <row r="46" spans="1:17" x14ac:dyDescent="0.2">
      <c r="A46" s="1" t="s">
        <v>181</v>
      </c>
      <c r="B46" s="1" t="s">
        <v>182</v>
      </c>
      <c r="C46" s="1" t="str">
        <f>gminy_26[[#This Row],[kod gminy]]</f>
        <v>2604102</v>
      </c>
      <c r="D46" s="1" t="s">
        <v>65</v>
      </c>
      <c r="E46" s="1" t="str">
        <f>VLOOKUP(gminy_26[[#This Row],[kod powiatu]],powiaty_26[],katalogi!$B$1,FALSE)</f>
        <v>kielecki</v>
      </c>
      <c r="F46" s="1" t="s">
        <v>60</v>
      </c>
      <c r="G46" s="1" t="str">
        <f>VLOOKUP(gminy_26[[#This Row],[kod strefy]],strefy_26[],2,FALSE)</f>
        <v>strefa świętokrzyska</v>
      </c>
      <c r="H46" s="35">
        <v>122280</v>
      </c>
      <c r="I46" s="35">
        <v>0</v>
      </c>
      <c r="J46" s="35">
        <v>4790</v>
      </c>
      <c r="K46" s="35">
        <v>8980</v>
      </c>
      <c r="L46" s="35">
        <v>10170</v>
      </c>
      <c r="M46" s="35">
        <v>30700</v>
      </c>
      <c r="N46" s="35">
        <v>30700</v>
      </c>
      <c r="O46" s="38">
        <v>36940</v>
      </c>
      <c r="P46" s="38">
        <v>1</v>
      </c>
      <c r="Q46" s="38">
        <v>5</v>
      </c>
    </row>
    <row r="47" spans="1:17" hidden="1" x14ac:dyDescent="0.2">
      <c r="A47" s="1" t="s">
        <v>183</v>
      </c>
      <c r="B47" s="1" t="s">
        <v>184</v>
      </c>
      <c r="C47" s="1" t="str">
        <f>gminy_26[[#This Row],[kod gminy]]</f>
        <v>2611032</v>
      </c>
      <c r="D47" s="1" t="s">
        <v>72</v>
      </c>
      <c r="E47" s="1" t="str">
        <f>VLOOKUP(gminy_26[[#This Row],[kod powiatu]],powiaty_26[],katalogi!$B$1,FALSE)</f>
        <v>starachowicki</v>
      </c>
      <c r="F47" s="1" t="s">
        <v>60</v>
      </c>
      <c r="G47" s="1" t="str">
        <f>VLOOKUP(gminy_26[[#This Row],[kod strefy]],strefy_26[],2,FALSE)</f>
        <v>strefa świętokrzyska</v>
      </c>
      <c r="H47" s="35">
        <v>84100</v>
      </c>
      <c r="I47" s="35">
        <v>0</v>
      </c>
      <c r="J47" s="35">
        <v>2380</v>
      </c>
      <c r="K47" s="35">
        <v>4460</v>
      </c>
      <c r="L47" s="35">
        <v>5050</v>
      </c>
      <c r="M47" s="35">
        <v>22260</v>
      </c>
      <c r="N47" s="35">
        <v>22260</v>
      </c>
      <c r="O47" s="38">
        <v>27690</v>
      </c>
      <c r="P47" s="38">
        <v>1</v>
      </c>
      <c r="Q47" s="38">
        <v>5</v>
      </c>
    </row>
    <row r="48" spans="1:17" x14ac:dyDescent="0.2">
      <c r="A48" s="1" t="s">
        <v>185</v>
      </c>
      <c r="B48" s="1" t="s">
        <v>186</v>
      </c>
      <c r="C48" s="1" t="str">
        <f>gminy_26[[#This Row],[kod gminy]]</f>
        <v>2604112</v>
      </c>
      <c r="D48" s="1" t="s">
        <v>65</v>
      </c>
      <c r="E48" s="1" t="str">
        <f>VLOOKUP(gminy_26[[#This Row],[kod powiatu]],powiaty_26[],katalogi!$B$1,FALSE)</f>
        <v>kielecki</v>
      </c>
      <c r="F48" s="1" t="s">
        <v>60</v>
      </c>
      <c r="G48" s="1" t="str">
        <f>VLOOKUP(gminy_26[[#This Row],[kod strefy]],strefy_26[],2,FALSE)</f>
        <v>strefa świętokrzyska</v>
      </c>
      <c r="H48" s="35">
        <v>112730</v>
      </c>
      <c r="I48" s="35">
        <v>0</v>
      </c>
      <c r="J48" s="35">
        <v>4530</v>
      </c>
      <c r="K48" s="35">
        <v>8490</v>
      </c>
      <c r="L48" s="35">
        <v>9620</v>
      </c>
      <c r="M48" s="35">
        <v>28160</v>
      </c>
      <c r="N48" s="35">
        <v>28160</v>
      </c>
      <c r="O48" s="38">
        <v>33770</v>
      </c>
      <c r="P48" s="38">
        <v>1</v>
      </c>
      <c r="Q48" s="38">
        <v>5</v>
      </c>
    </row>
    <row r="49" spans="1:17" x14ac:dyDescent="0.2">
      <c r="A49" s="1" t="s">
        <v>187</v>
      </c>
      <c r="B49" s="1" t="s">
        <v>188</v>
      </c>
      <c r="C49" s="1" t="str">
        <f>gminy_26[[#This Row],[kod gminy]]</f>
        <v>2604123</v>
      </c>
      <c r="D49" s="1" t="s">
        <v>65</v>
      </c>
      <c r="E49" s="1" t="str">
        <f>VLOOKUP(gminy_26[[#This Row],[kod powiatu]],powiaty_26[],katalogi!$B$1,FALSE)</f>
        <v>kielecki</v>
      </c>
      <c r="F49" s="1" t="s">
        <v>60</v>
      </c>
      <c r="G49" s="1" t="str">
        <f>VLOOKUP(gminy_26[[#This Row],[kod strefy]],strefy_26[],2,FALSE)</f>
        <v>strefa świętokrzyska</v>
      </c>
      <c r="H49" s="35">
        <v>162640</v>
      </c>
      <c r="I49" s="35">
        <v>0</v>
      </c>
      <c r="J49" s="35">
        <v>6360</v>
      </c>
      <c r="K49" s="35">
        <v>11910</v>
      </c>
      <c r="L49" s="35">
        <v>13500</v>
      </c>
      <c r="M49" s="35">
        <v>40850</v>
      </c>
      <c r="N49" s="35">
        <v>40850</v>
      </c>
      <c r="O49" s="38">
        <v>49170</v>
      </c>
      <c r="P49" s="38">
        <v>1</v>
      </c>
      <c r="Q49" s="38">
        <v>20</v>
      </c>
    </row>
    <row r="50" spans="1:17" hidden="1" x14ac:dyDescent="0.2">
      <c r="A50" s="1" t="s">
        <v>189</v>
      </c>
      <c r="B50" s="1" t="s">
        <v>190</v>
      </c>
      <c r="C50" s="1" t="str">
        <f>gminy_26[[#This Row],[kod gminy]]</f>
        <v>2613032</v>
      </c>
      <c r="D50" s="1" t="s">
        <v>74</v>
      </c>
      <c r="E50" s="1" t="str">
        <f>VLOOKUP(gminy_26[[#This Row],[kod powiatu]],powiaty_26[],katalogi!$B$1,FALSE)</f>
        <v>włoszczowski</v>
      </c>
      <c r="F50" s="1" t="s">
        <v>60</v>
      </c>
      <c r="G50" s="1" t="str">
        <f>VLOOKUP(gminy_26[[#This Row],[kod strefy]],strefy_26[],2,FALSE)</f>
        <v>strefa świętokrzyska</v>
      </c>
      <c r="H50" s="35">
        <v>21530</v>
      </c>
      <c r="I50" s="35">
        <v>0</v>
      </c>
      <c r="J50" s="35">
        <v>320</v>
      </c>
      <c r="K50" s="35">
        <v>600</v>
      </c>
      <c r="L50" s="35">
        <v>680</v>
      </c>
      <c r="M50" s="35">
        <v>6060</v>
      </c>
      <c r="N50" s="35">
        <v>6060</v>
      </c>
      <c r="O50" s="38">
        <v>7810</v>
      </c>
      <c r="P50" s="38">
        <v>1</v>
      </c>
      <c r="Q50" s="38">
        <v>5</v>
      </c>
    </row>
    <row r="51" spans="1:17" hidden="1" x14ac:dyDescent="0.2">
      <c r="A51" s="1" t="s">
        <v>191</v>
      </c>
      <c r="B51" s="1" t="s">
        <v>192</v>
      </c>
      <c r="C51" s="1" t="str">
        <f>gminy_26[[#This Row],[kod gminy]]</f>
        <v>2602042</v>
      </c>
      <c r="D51" s="1" t="s">
        <v>63</v>
      </c>
      <c r="E51" s="1" t="str">
        <f>VLOOKUP(gminy_26[[#This Row],[kod powiatu]],powiaty_26[],katalogi!$B$1,FALSE)</f>
        <v>jędrzejowski</v>
      </c>
      <c r="F51" s="1" t="s">
        <v>60</v>
      </c>
      <c r="G51" s="1" t="str">
        <f>VLOOKUP(gminy_26[[#This Row],[kod strefy]],strefy_26[],2,FALSE)</f>
        <v>strefa świętokrzyska</v>
      </c>
      <c r="H51" s="35">
        <v>53810</v>
      </c>
      <c r="I51" s="35">
        <v>0</v>
      </c>
      <c r="J51" s="35">
        <v>2280</v>
      </c>
      <c r="K51" s="35">
        <v>4260</v>
      </c>
      <c r="L51" s="35">
        <v>4830</v>
      </c>
      <c r="M51" s="35">
        <v>13300</v>
      </c>
      <c r="N51" s="35">
        <v>13300</v>
      </c>
      <c r="O51" s="38">
        <v>15840</v>
      </c>
      <c r="P51" s="38">
        <v>1</v>
      </c>
      <c r="Q51" s="38">
        <v>5</v>
      </c>
    </row>
    <row r="52" spans="1:17" x14ac:dyDescent="0.2">
      <c r="A52" s="1" t="s">
        <v>193</v>
      </c>
      <c r="B52" s="1" t="s">
        <v>194</v>
      </c>
      <c r="C52" s="1" t="str">
        <f>gminy_26[[#This Row],[kod gminy]]</f>
        <v>2604132</v>
      </c>
      <c r="D52" s="1" t="s">
        <v>65</v>
      </c>
      <c r="E52" s="1" t="str">
        <f>VLOOKUP(gminy_26[[#This Row],[kod powiatu]],powiaty_26[],katalogi!$B$1,FALSE)</f>
        <v>kielecki</v>
      </c>
      <c r="F52" s="1" t="s">
        <v>60</v>
      </c>
      <c r="G52" s="1" t="str">
        <f>VLOOKUP(gminy_26[[#This Row],[kod strefy]],strefy_26[],2,FALSE)</f>
        <v>strefa świętokrzyska</v>
      </c>
      <c r="H52" s="35">
        <v>113030</v>
      </c>
      <c r="I52" s="35">
        <v>0</v>
      </c>
      <c r="J52" s="35">
        <v>4500</v>
      </c>
      <c r="K52" s="35">
        <v>8430</v>
      </c>
      <c r="L52" s="35">
        <v>9550</v>
      </c>
      <c r="M52" s="35">
        <v>28290</v>
      </c>
      <c r="N52" s="35">
        <v>28290</v>
      </c>
      <c r="O52" s="38">
        <v>33970</v>
      </c>
      <c r="P52" s="38">
        <v>1</v>
      </c>
      <c r="Q52" s="38">
        <v>20</v>
      </c>
    </row>
    <row r="53" spans="1:17" x14ac:dyDescent="0.2">
      <c r="A53" s="1" t="s">
        <v>244</v>
      </c>
      <c r="B53" s="1" t="s">
        <v>505</v>
      </c>
      <c r="C53" s="1" t="str">
        <f>gminy_26[[#This Row],[kod gminy]]</f>
        <v>2604172</v>
      </c>
      <c r="D53" s="1" t="s">
        <v>65</v>
      </c>
      <c r="E53" s="1" t="str">
        <f>VLOOKUP(gminy_26[[#This Row],[kod powiatu]],powiaty_26[],katalogi!$B$1,FALSE)</f>
        <v>kielecki</v>
      </c>
      <c r="F53" s="1" t="s">
        <v>60</v>
      </c>
      <c r="G53" s="1" t="str">
        <f>VLOOKUP(gminy_26[[#This Row],[kod strefy]],strefy_26[],2,FALSE)</f>
        <v>strefa świętokrzyska</v>
      </c>
      <c r="H53" s="35">
        <v>88770</v>
      </c>
      <c r="I53" s="35">
        <v>0</v>
      </c>
      <c r="J53" s="35">
        <v>3530</v>
      </c>
      <c r="K53" s="35">
        <v>6620</v>
      </c>
      <c r="L53" s="35">
        <v>7500</v>
      </c>
      <c r="M53" s="35">
        <v>22220</v>
      </c>
      <c r="N53" s="35">
        <v>22220</v>
      </c>
      <c r="O53" s="38">
        <v>26680</v>
      </c>
      <c r="P53" s="38">
        <v>1</v>
      </c>
      <c r="Q53" s="38">
        <v>5</v>
      </c>
    </row>
    <row r="54" spans="1:17" hidden="1" x14ac:dyDescent="0.2">
      <c r="A54" s="1" t="s">
        <v>195</v>
      </c>
      <c r="B54" s="1" t="s">
        <v>196</v>
      </c>
      <c r="C54" s="1" t="str">
        <f>gminy_26[[#This Row],[kod gminy]]</f>
        <v>2601032</v>
      </c>
      <c r="D54" s="1" t="s">
        <v>62</v>
      </c>
      <c r="E54" s="1" t="str">
        <f>VLOOKUP(gminy_26[[#This Row],[kod powiatu]],powiaty_26[],katalogi!$B$1,FALSE)</f>
        <v>buski</v>
      </c>
      <c r="F54" s="1" t="s">
        <v>60</v>
      </c>
      <c r="G54" s="1" t="str">
        <f>VLOOKUP(gminy_26[[#This Row],[kod strefy]],strefy_26[],2,FALSE)</f>
        <v>strefa świętokrzyska</v>
      </c>
      <c r="H54" s="35">
        <v>52400</v>
      </c>
      <c r="I54" s="35">
        <v>0</v>
      </c>
      <c r="J54" s="35">
        <v>2210</v>
      </c>
      <c r="K54" s="35">
        <v>4140</v>
      </c>
      <c r="L54" s="35">
        <v>4690</v>
      </c>
      <c r="M54" s="35">
        <v>12960</v>
      </c>
      <c r="N54" s="35">
        <v>12960</v>
      </c>
      <c r="O54" s="38">
        <v>15440</v>
      </c>
      <c r="P54" s="38">
        <v>1</v>
      </c>
      <c r="Q54" s="38">
        <v>20</v>
      </c>
    </row>
    <row r="55" spans="1:17" hidden="1" x14ac:dyDescent="0.2">
      <c r="A55" s="1" t="s">
        <v>197</v>
      </c>
      <c r="B55" s="1" t="s">
        <v>198</v>
      </c>
      <c r="C55" s="1" t="str">
        <f>gminy_26[[#This Row],[kod gminy]]</f>
        <v>2609062</v>
      </c>
      <c r="D55" s="1" t="s">
        <v>70</v>
      </c>
      <c r="E55" s="1" t="str">
        <f>VLOOKUP(gminy_26[[#This Row],[kod powiatu]],powiaty_26[],katalogi!$B$1,FALSE)</f>
        <v>sandomierski</v>
      </c>
      <c r="F55" s="1" t="s">
        <v>60</v>
      </c>
      <c r="G55" s="1" t="str">
        <f>VLOOKUP(gminy_26[[#This Row],[kod strefy]],strefy_26[],2,FALSE)</f>
        <v>strefa świętokrzyska</v>
      </c>
      <c r="H55" s="35">
        <v>29580</v>
      </c>
      <c r="I55" s="35">
        <v>0</v>
      </c>
      <c r="J55" s="35">
        <v>980</v>
      </c>
      <c r="K55" s="35">
        <v>1830</v>
      </c>
      <c r="L55" s="35">
        <v>2080</v>
      </c>
      <c r="M55" s="35">
        <v>7650</v>
      </c>
      <c r="N55" s="35">
        <v>7650</v>
      </c>
      <c r="O55" s="38">
        <v>9390</v>
      </c>
      <c r="P55" s="38">
        <v>1</v>
      </c>
      <c r="Q55" s="38">
        <v>5</v>
      </c>
    </row>
    <row r="56" spans="1:17" hidden="1" x14ac:dyDescent="0.2">
      <c r="A56" s="1" t="s">
        <v>199</v>
      </c>
      <c r="B56" s="1" t="s">
        <v>200</v>
      </c>
      <c r="C56" s="1" t="str">
        <f>gminy_26[[#This Row],[kod gminy]]</f>
        <v>2602052</v>
      </c>
      <c r="D56" s="1" t="s">
        <v>63</v>
      </c>
      <c r="E56" s="1" t="str">
        <f>VLOOKUP(gminy_26[[#This Row],[kod powiatu]],powiaty_26[],katalogi!$B$1,FALSE)</f>
        <v>jędrzejowski</v>
      </c>
      <c r="F56" s="1" t="s">
        <v>60</v>
      </c>
      <c r="G56" s="1" t="str">
        <f>VLOOKUP(gminy_26[[#This Row],[kod strefy]],strefy_26[],2,FALSE)</f>
        <v>strefa świętokrzyska</v>
      </c>
      <c r="H56" s="35">
        <v>49080</v>
      </c>
      <c r="I56" s="35">
        <v>0</v>
      </c>
      <c r="J56" s="35">
        <v>2050</v>
      </c>
      <c r="K56" s="35">
        <v>3830</v>
      </c>
      <c r="L56" s="35">
        <v>4340</v>
      </c>
      <c r="M56" s="35">
        <v>12170</v>
      </c>
      <c r="N56" s="35">
        <v>12170</v>
      </c>
      <c r="O56" s="38">
        <v>14520</v>
      </c>
      <c r="P56" s="38">
        <v>1</v>
      </c>
      <c r="Q56" s="38">
        <v>5</v>
      </c>
    </row>
    <row r="57" spans="1:17" hidden="1" x14ac:dyDescent="0.2">
      <c r="A57" s="1" t="s">
        <v>201</v>
      </c>
      <c r="B57" s="1" t="s">
        <v>202</v>
      </c>
      <c r="C57" s="1" t="str">
        <f>gminy_26[[#This Row],[kod gminy]]</f>
        <v>2612032</v>
      </c>
      <c r="D57" s="1" t="s">
        <v>73</v>
      </c>
      <c r="E57" s="1" t="str">
        <f>VLOOKUP(gminy_26[[#This Row],[kod powiatu]],powiaty_26[],katalogi!$B$1,FALSE)</f>
        <v>staszowski</v>
      </c>
      <c r="F57" s="1" t="s">
        <v>60</v>
      </c>
      <c r="G57" s="1" t="str">
        <f>VLOOKUP(gminy_26[[#This Row],[kod strefy]],strefy_26[],2,FALSE)</f>
        <v>strefa świętokrzyska</v>
      </c>
      <c r="H57" s="35">
        <v>32250</v>
      </c>
      <c r="I57" s="35">
        <v>0</v>
      </c>
      <c r="J57" s="35">
        <v>1920</v>
      </c>
      <c r="K57" s="35">
        <v>3590</v>
      </c>
      <c r="L57" s="35">
        <v>4060</v>
      </c>
      <c r="M57" s="35">
        <v>7280</v>
      </c>
      <c r="N57" s="35">
        <v>7280</v>
      </c>
      <c r="O57" s="38">
        <v>8120</v>
      </c>
      <c r="P57" s="38">
        <v>1</v>
      </c>
      <c r="Q57" s="38">
        <v>20</v>
      </c>
    </row>
    <row r="58" spans="1:17" hidden="1" x14ac:dyDescent="0.2">
      <c r="A58" s="1" t="s">
        <v>203</v>
      </c>
      <c r="B58" s="1" t="s">
        <v>204</v>
      </c>
      <c r="C58" s="1" t="str">
        <f>gminy_26[[#This Row],[kod gminy]]</f>
        <v>2603042</v>
      </c>
      <c r="D58" s="1" t="s">
        <v>64</v>
      </c>
      <c r="E58" s="1" t="str">
        <f>VLOOKUP(gminy_26[[#This Row],[kod powiatu]],powiaty_26[],katalogi!$B$1,FALSE)</f>
        <v>kazimierski</v>
      </c>
      <c r="F58" s="1" t="s">
        <v>60</v>
      </c>
      <c r="G58" s="1" t="str">
        <f>VLOOKUP(gminy_26[[#This Row],[kod strefy]],strefy_26[],2,FALSE)</f>
        <v>strefa świętokrzyska</v>
      </c>
      <c r="H58" s="35">
        <v>23710</v>
      </c>
      <c r="I58" s="35">
        <v>0</v>
      </c>
      <c r="J58" s="35">
        <v>630</v>
      </c>
      <c r="K58" s="35">
        <v>1170</v>
      </c>
      <c r="L58" s="35">
        <v>1330</v>
      </c>
      <c r="M58" s="35">
        <v>6330</v>
      </c>
      <c r="N58" s="35">
        <v>6330</v>
      </c>
      <c r="O58" s="38">
        <v>7920</v>
      </c>
      <c r="P58" s="38">
        <v>1</v>
      </c>
      <c r="Q58" s="38">
        <v>20</v>
      </c>
    </row>
    <row r="59" spans="1:17" hidden="1" x14ac:dyDescent="0.2">
      <c r="A59" s="1" t="s">
        <v>205</v>
      </c>
      <c r="B59" s="1" t="s">
        <v>14</v>
      </c>
      <c r="C59" s="1" t="str">
        <f>gminy_26[[#This Row],[kod gminy]]</f>
        <v>2606043</v>
      </c>
      <c r="D59" s="1" t="s">
        <v>67</v>
      </c>
      <c r="E59" s="1" t="str">
        <f>VLOOKUP(gminy_26[[#This Row],[kod powiatu]],powiaty_26[],katalogi!$B$1,FALSE)</f>
        <v>opatowski</v>
      </c>
      <c r="F59" s="1" t="s">
        <v>60</v>
      </c>
      <c r="G59" s="1" t="str">
        <f>VLOOKUP(gminy_26[[#This Row],[kod strefy]],strefy_26[],2,FALSE)</f>
        <v>strefa świętokrzyska</v>
      </c>
      <c r="H59" s="35">
        <v>55640</v>
      </c>
      <c r="I59" s="35">
        <v>0</v>
      </c>
      <c r="J59" s="35">
        <v>470</v>
      </c>
      <c r="K59" s="35">
        <v>870</v>
      </c>
      <c r="L59" s="35">
        <v>990</v>
      </c>
      <c r="M59" s="35">
        <v>16110</v>
      </c>
      <c r="N59" s="35">
        <v>16110</v>
      </c>
      <c r="O59" s="38">
        <v>21090</v>
      </c>
      <c r="P59" s="38">
        <v>1</v>
      </c>
      <c r="Q59" s="38">
        <v>20</v>
      </c>
    </row>
    <row r="60" spans="1:17" hidden="1" x14ac:dyDescent="0.2">
      <c r="A60" s="1" t="s">
        <v>206</v>
      </c>
      <c r="B60" s="1" t="s">
        <v>207</v>
      </c>
      <c r="C60" s="1" t="str">
        <f>gminy_26[[#This Row],[kod gminy]]</f>
        <v>2612043</v>
      </c>
      <c r="D60" s="1" t="s">
        <v>73</v>
      </c>
      <c r="E60" s="1" t="str">
        <f>VLOOKUP(gminy_26[[#This Row],[kod powiatu]],powiaty_26[],katalogi!$B$1,FALSE)</f>
        <v>staszowski</v>
      </c>
      <c r="F60" s="1" t="s">
        <v>60</v>
      </c>
      <c r="G60" s="1" t="str">
        <f>VLOOKUP(gminy_26[[#This Row],[kod strefy]],strefy_26[],2,FALSE)</f>
        <v>strefa świętokrzyska</v>
      </c>
      <c r="H60" s="35">
        <v>80780</v>
      </c>
      <c r="I60" s="35">
        <v>0</v>
      </c>
      <c r="J60" s="35">
        <v>4780</v>
      </c>
      <c r="K60" s="35">
        <v>8960</v>
      </c>
      <c r="L60" s="35">
        <v>10150</v>
      </c>
      <c r="M60" s="35">
        <v>18260</v>
      </c>
      <c r="N60" s="35">
        <v>18260</v>
      </c>
      <c r="O60" s="38">
        <v>20370</v>
      </c>
      <c r="P60" s="38">
        <v>1</v>
      </c>
      <c r="Q60" s="38">
        <v>20</v>
      </c>
    </row>
    <row r="61" spans="1:17" hidden="1" x14ac:dyDescent="0.2">
      <c r="A61" s="1" t="s">
        <v>208</v>
      </c>
      <c r="B61" s="1" t="s">
        <v>209</v>
      </c>
      <c r="C61" s="1" t="str">
        <f>gminy_26[[#This Row],[kod gminy]]</f>
        <v>2607011</v>
      </c>
      <c r="D61" s="1" t="s">
        <v>68</v>
      </c>
      <c r="E61" s="1" t="str">
        <f>VLOOKUP(gminy_26[[#This Row],[kod powiatu]],powiaty_26[],katalogi!$B$1,FALSE)</f>
        <v>ostrowiecki</v>
      </c>
      <c r="F61" s="1" t="s">
        <v>60</v>
      </c>
      <c r="G61" s="1" t="str">
        <f>VLOOKUP(gminy_26[[#This Row],[kod strefy]],strefy_26[],2,FALSE)</f>
        <v>strefa świętokrzyska</v>
      </c>
      <c r="H61" s="35">
        <v>424670</v>
      </c>
      <c r="I61" s="35">
        <v>0</v>
      </c>
      <c r="J61" s="35">
        <v>18390</v>
      </c>
      <c r="K61" s="35">
        <v>34470</v>
      </c>
      <c r="L61" s="35">
        <v>39070</v>
      </c>
      <c r="M61" s="35">
        <v>104420</v>
      </c>
      <c r="N61" s="35">
        <v>104420</v>
      </c>
      <c r="O61" s="38">
        <v>123900</v>
      </c>
      <c r="P61" s="38">
        <v>1</v>
      </c>
      <c r="Q61" s="38">
        <v>20</v>
      </c>
    </row>
    <row r="62" spans="1:17" hidden="1" x14ac:dyDescent="0.2">
      <c r="A62" s="1" t="s">
        <v>210</v>
      </c>
      <c r="B62" s="1" t="s">
        <v>211</v>
      </c>
      <c r="C62" s="1" t="str">
        <f>gminy_26[[#This Row],[kod gminy]]</f>
        <v>2606053</v>
      </c>
      <c r="D62" s="1" t="s">
        <v>67</v>
      </c>
      <c r="E62" s="1" t="str">
        <f>VLOOKUP(gminy_26[[#This Row],[kod powiatu]],powiaty_26[],katalogi!$B$1,FALSE)</f>
        <v>opatowski</v>
      </c>
      <c r="F62" s="1" t="s">
        <v>60</v>
      </c>
      <c r="G62" s="1" t="str">
        <f>VLOOKUP(gminy_26[[#This Row],[kod strefy]],strefy_26[],2,FALSE)</f>
        <v>strefa świętokrzyska</v>
      </c>
      <c r="H62" s="35">
        <v>66720</v>
      </c>
      <c r="I62" s="35">
        <v>0</v>
      </c>
      <c r="J62" s="35">
        <v>630</v>
      </c>
      <c r="K62" s="35">
        <v>1180</v>
      </c>
      <c r="L62" s="35">
        <v>1330</v>
      </c>
      <c r="M62" s="35">
        <v>19230</v>
      </c>
      <c r="N62" s="35">
        <v>19230</v>
      </c>
      <c r="O62" s="38">
        <v>25120</v>
      </c>
      <c r="P62" s="38">
        <v>1</v>
      </c>
      <c r="Q62" s="38">
        <v>20</v>
      </c>
    </row>
    <row r="63" spans="1:17" hidden="1" x14ac:dyDescent="0.2">
      <c r="A63" s="1" t="s">
        <v>212</v>
      </c>
      <c r="B63" s="1" t="s">
        <v>213</v>
      </c>
      <c r="C63" s="1" t="str">
        <f>gminy_26[[#This Row],[kod gminy]]</f>
        <v>2601042</v>
      </c>
      <c r="D63" s="1" t="s">
        <v>62</v>
      </c>
      <c r="E63" s="1" t="str">
        <f>VLOOKUP(gminy_26[[#This Row],[kod powiatu]],powiaty_26[],katalogi!$B$1,FALSE)</f>
        <v>buski</v>
      </c>
      <c r="F63" s="1" t="s">
        <v>60</v>
      </c>
      <c r="G63" s="1" t="str">
        <f>VLOOKUP(gminy_26[[#This Row],[kod strefy]],strefy_26[],2,FALSE)</f>
        <v>strefa świętokrzyska</v>
      </c>
      <c r="H63" s="35">
        <v>69270</v>
      </c>
      <c r="I63" s="35">
        <v>0</v>
      </c>
      <c r="J63" s="35">
        <v>2860</v>
      </c>
      <c r="K63" s="35">
        <v>5350</v>
      </c>
      <c r="L63" s="35">
        <v>6070</v>
      </c>
      <c r="M63" s="35">
        <v>17210</v>
      </c>
      <c r="N63" s="35">
        <v>17210</v>
      </c>
      <c r="O63" s="38">
        <v>20570</v>
      </c>
      <c r="P63" s="38">
        <v>1</v>
      </c>
      <c r="Q63" s="38">
        <v>20</v>
      </c>
    </row>
    <row r="64" spans="1:17" hidden="1" x14ac:dyDescent="0.2">
      <c r="A64" s="1" t="s">
        <v>214</v>
      </c>
      <c r="B64" s="1" t="s">
        <v>215</v>
      </c>
      <c r="C64" s="1" t="str">
        <f>gminy_26[[#This Row],[kod gminy]]</f>
        <v>2611042</v>
      </c>
      <c r="D64" s="1" t="s">
        <v>72</v>
      </c>
      <c r="E64" s="1" t="str">
        <f>VLOOKUP(gminy_26[[#This Row],[kod powiatu]],powiaty_26[],katalogi!$B$1,FALSE)</f>
        <v>starachowicki</v>
      </c>
      <c r="F64" s="1" t="s">
        <v>60</v>
      </c>
      <c r="G64" s="1" t="str">
        <f>VLOOKUP(gminy_26[[#This Row],[kod strefy]],strefy_26[],2,FALSE)</f>
        <v>strefa świętokrzyska</v>
      </c>
      <c r="H64" s="35">
        <v>154410</v>
      </c>
      <c r="I64" s="35">
        <v>0</v>
      </c>
      <c r="J64" s="35">
        <v>4410</v>
      </c>
      <c r="K64" s="35">
        <v>8270</v>
      </c>
      <c r="L64" s="35">
        <v>9370</v>
      </c>
      <c r="M64" s="35">
        <v>40810</v>
      </c>
      <c r="N64" s="35">
        <v>40810</v>
      </c>
      <c r="O64" s="38">
        <v>50740</v>
      </c>
      <c r="P64" s="38">
        <v>1</v>
      </c>
      <c r="Q64" s="38">
        <v>5</v>
      </c>
    </row>
    <row r="65" spans="1:17" x14ac:dyDescent="0.2">
      <c r="A65" s="1" t="s">
        <v>216</v>
      </c>
      <c r="B65" s="1" t="s">
        <v>217</v>
      </c>
      <c r="C65" s="1" t="str">
        <f>gminy_26[[#This Row],[kod gminy]]</f>
        <v>2604142</v>
      </c>
      <c r="D65" s="1" t="s">
        <v>65</v>
      </c>
      <c r="E65" s="1" t="str">
        <f>VLOOKUP(gminy_26[[#This Row],[kod powiatu]],powiaty_26[],katalogi!$B$1,FALSE)</f>
        <v>kielecki</v>
      </c>
      <c r="F65" s="1" t="s">
        <v>60</v>
      </c>
      <c r="G65" s="1" t="str">
        <f>VLOOKUP(gminy_26[[#This Row],[kod strefy]],strefy_26[],2,FALSE)</f>
        <v>strefa świętokrzyska</v>
      </c>
      <c r="H65" s="35">
        <v>194000</v>
      </c>
      <c r="I65" s="35">
        <v>0</v>
      </c>
      <c r="J65" s="35">
        <v>7640</v>
      </c>
      <c r="K65" s="35">
        <v>14320</v>
      </c>
      <c r="L65" s="35">
        <v>16230</v>
      </c>
      <c r="M65" s="35">
        <v>48650</v>
      </c>
      <c r="N65" s="35">
        <v>48650</v>
      </c>
      <c r="O65" s="38">
        <v>58510</v>
      </c>
      <c r="P65" s="38">
        <v>1</v>
      </c>
      <c r="Q65" s="38">
        <v>20</v>
      </c>
    </row>
    <row r="66" spans="1:17" x14ac:dyDescent="0.2">
      <c r="A66" s="1" t="s">
        <v>218</v>
      </c>
      <c r="B66" s="1" t="s">
        <v>219</v>
      </c>
      <c r="C66" s="1" t="str">
        <f>gminy_26[[#This Row],[kod gminy]]</f>
        <v>2604152</v>
      </c>
      <c r="D66" s="1" t="s">
        <v>65</v>
      </c>
      <c r="E66" s="1" t="str">
        <f>VLOOKUP(gminy_26[[#This Row],[kod powiatu]],powiaty_26[],katalogi!$B$1,FALSE)</f>
        <v>kielecki</v>
      </c>
      <c r="F66" s="1" t="s">
        <v>60</v>
      </c>
      <c r="G66" s="1" t="str">
        <f>VLOOKUP(gminy_26[[#This Row],[kod strefy]],strefy_26[],2,FALSE)</f>
        <v>strefa świętokrzyska</v>
      </c>
      <c r="H66" s="35">
        <v>55590</v>
      </c>
      <c r="I66" s="35">
        <v>0</v>
      </c>
      <c r="J66" s="35">
        <v>2190</v>
      </c>
      <c r="K66" s="35">
        <v>4110</v>
      </c>
      <c r="L66" s="35">
        <v>4650</v>
      </c>
      <c r="M66" s="35">
        <v>13940</v>
      </c>
      <c r="N66" s="35">
        <v>13940</v>
      </c>
      <c r="O66" s="38">
        <v>16760</v>
      </c>
      <c r="P66" s="38">
        <v>1</v>
      </c>
      <c r="Q66" s="38">
        <v>20</v>
      </c>
    </row>
    <row r="67" spans="1:17" hidden="1" x14ac:dyDescent="0.2">
      <c r="A67" s="1" t="s">
        <v>220</v>
      </c>
      <c r="B67" s="1" t="s">
        <v>221</v>
      </c>
      <c r="C67" s="1" t="str">
        <f>gminy_26[[#This Row],[kod gminy]]</f>
        <v>2608043</v>
      </c>
      <c r="D67" s="1" t="s">
        <v>69</v>
      </c>
      <c r="E67" s="1" t="str">
        <f>VLOOKUP(gminy_26[[#This Row],[kod powiatu]],powiaty_26[],katalogi!$B$1,FALSE)</f>
        <v>pińczowski</v>
      </c>
      <c r="F67" s="1" t="s">
        <v>60</v>
      </c>
      <c r="G67" s="1" t="str">
        <f>VLOOKUP(gminy_26[[#This Row],[kod strefy]],strefy_26[],2,FALSE)</f>
        <v>strefa świętokrzyska</v>
      </c>
      <c r="H67" s="35">
        <v>161340</v>
      </c>
      <c r="I67" s="35">
        <v>0</v>
      </c>
      <c r="J67" s="35">
        <v>2080</v>
      </c>
      <c r="K67" s="35">
        <v>3900</v>
      </c>
      <c r="L67" s="35">
        <v>4420</v>
      </c>
      <c r="M67" s="35">
        <v>45800</v>
      </c>
      <c r="N67" s="35">
        <v>45800</v>
      </c>
      <c r="O67" s="38">
        <v>59340</v>
      </c>
      <c r="P67" s="38">
        <v>1</v>
      </c>
      <c r="Q67" s="38">
        <v>20</v>
      </c>
    </row>
    <row r="68" spans="1:17" hidden="1" x14ac:dyDescent="0.2">
      <c r="A68" s="1" t="s">
        <v>222</v>
      </c>
      <c r="B68" s="1" t="s">
        <v>223</v>
      </c>
      <c r="C68" s="1" t="str">
        <f>gminy_26[[#This Row],[kod gminy]]</f>
        <v>2612053</v>
      </c>
      <c r="D68" s="1" t="s">
        <v>73</v>
      </c>
      <c r="E68" s="1" t="str">
        <f>VLOOKUP(gminy_26[[#This Row],[kod powiatu]],powiaty_26[],katalogi!$B$1,FALSE)</f>
        <v>staszowski</v>
      </c>
      <c r="F68" s="1" t="s">
        <v>60</v>
      </c>
      <c r="G68" s="1" t="str">
        <f>VLOOKUP(gminy_26[[#This Row],[kod strefy]],strefy_26[],2,FALSE)</f>
        <v>strefa świętokrzyska</v>
      </c>
      <c r="H68" s="35">
        <v>100530</v>
      </c>
      <c r="I68" s="35">
        <v>0</v>
      </c>
      <c r="J68" s="35">
        <v>5940</v>
      </c>
      <c r="K68" s="35">
        <v>11130</v>
      </c>
      <c r="L68" s="35">
        <v>12610</v>
      </c>
      <c r="M68" s="35">
        <v>22740</v>
      </c>
      <c r="N68" s="35">
        <v>22740</v>
      </c>
      <c r="O68" s="38">
        <v>25370</v>
      </c>
      <c r="P68" s="38">
        <v>1</v>
      </c>
      <c r="Q68" s="38">
        <v>20</v>
      </c>
    </row>
    <row r="69" spans="1:17" hidden="1" x14ac:dyDescent="0.2">
      <c r="A69" s="1" t="s">
        <v>224</v>
      </c>
      <c r="B69" s="1" t="s">
        <v>225</v>
      </c>
      <c r="C69" s="1" t="str">
        <f>gminy_26[[#This Row],[kod gminy]]</f>
        <v>2613042</v>
      </c>
      <c r="D69" s="1" t="s">
        <v>74</v>
      </c>
      <c r="E69" s="1" t="str">
        <f>VLOOKUP(gminy_26[[#This Row],[kod powiatu]],powiaty_26[],katalogi!$B$1,FALSE)</f>
        <v>włoszczowski</v>
      </c>
      <c r="F69" s="1" t="s">
        <v>60</v>
      </c>
      <c r="G69" s="1" t="str">
        <f>VLOOKUP(gminy_26[[#This Row],[kod strefy]],strefy_26[],2,FALSE)</f>
        <v>strefa świętokrzyska</v>
      </c>
      <c r="H69" s="35">
        <v>19450</v>
      </c>
      <c r="I69" s="35">
        <v>0</v>
      </c>
      <c r="J69" s="35">
        <v>250</v>
      </c>
      <c r="K69" s="35">
        <v>470</v>
      </c>
      <c r="L69" s="35">
        <v>540</v>
      </c>
      <c r="M69" s="35">
        <v>5520</v>
      </c>
      <c r="N69" s="35">
        <v>5520</v>
      </c>
      <c r="O69" s="38">
        <v>7150</v>
      </c>
      <c r="P69" s="38">
        <v>1</v>
      </c>
      <c r="Q69" s="38">
        <v>5</v>
      </c>
    </row>
    <row r="70" spans="1:17" hidden="1" x14ac:dyDescent="0.2">
      <c r="A70" s="1" t="s">
        <v>226</v>
      </c>
      <c r="B70" s="1" t="s">
        <v>227</v>
      </c>
      <c r="C70" s="1" t="str">
        <f>gminy_26[[#This Row],[kod gminy]]</f>
        <v>2605043</v>
      </c>
      <c r="D70" s="1" t="s">
        <v>66</v>
      </c>
      <c r="E70" s="1" t="str">
        <f>VLOOKUP(gminy_26[[#This Row],[kod powiatu]],powiaty_26[],katalogi!$B$1,FALSE)</f>
        <v>konecki</v>
      </c>
      <c r="F70" s="1" t="s">
        <v>60</v>
      </c>
      <c r="G70" s="1" t="str">
        <f>VLOOKUP(gminy_26[[#This Row],[kod strefy]],strefy_26[],2,FALSE)</f>
        <v>strefa świętokrzyska</v>
      </c>
      <c r="H70" s="35">
        <v>90640</v>
      </c>
      <c r="I70" s="35">
        <v>0</v>
      </c>
      <c r="J70" s="35">
        <v>2780</v>
      </c>
      <c r="K70" s="35">
        <v>5200</v>
      </c>
      <c r="L70" s="35">
        <v>5900</v>
      </c>
      <c r="M70" s="35">
        <v>23720</v>
      </c>
      <c r="N70" s="35">
        <v>23720</v>
      </c>
      <c r="O70" s="38">
        <v>29320</v>
      </c>
      <c r="P70" s="38">
        <v>1</v>
      </c>
      <c r="Q70" s="38">
        <v>20</v>
      </c>
    </row>
    <row r="71" spans="1:17" x14ac:dyDescent="0.2">
      <c r="A71" s="1" t="s">
        <v>228</v>
      </c>
      <c r="B71" s="1" t="s">
        <v>229</v>
      </c>
      <c r="C71" s="1" t="str">
        <f>gminy_26[[#This Row],[kod gminy]]</f>
        <v>2604162</v>
      </c>
      <c r="D71" s="1" t="s">
        <v>65</v>
      </c>
      <c r="E71" s="1" t="str">
        <f>VLOOKUP(gminy_26[[#This Row],[kod powiatu]],powiaty_26[],katalogi!$B$1,FALSE)</f>
        <v>kielecki</v>
      </c>
      <c r="F71" s="1" t="s">
        <v>60</v>
      </c>
      <c r="G71" s="1" t="str">
        <f>VLOOKUP(gminy_26[[#This Row],[kod strefy]],strefy_26[],2,FALSE)</f>
        <v>strefa świętokrzyska</v>
      </c>
      <c r="H71" s="35">
        <v>66280</v>
      </c>
      <c r="I71" s="35">
        <v>0</v>
      </c>
      <c r="J71" s="35">
        <v>2610</v>
      </c>
      <c r="K71" s="35">
        <v>4880</v>
      </c>
      <c r="L71" s="35">
        <v>5530</v>
      </c>
      <c r="M71" s="35">
        <v>16630</v>
      </c>
      <c r="N71" s="35">
        <v>16630</v>
      </c>
      <c r="O71" s="38">
        <v>20000</v>
      </c>
      <c r="P71" s="38">
        <v>1</v>
      </c>
      <c r="Q71" s="38">
        <v>5</v>
      </c>
    </row>
    <row r="72" spans="1:17" hidden="1" x14ac:dyDescent="0.2">
      <c r="A72" s="1" t="s">
        <v>230</v>
      </c>
      <c r="B72" s="1" t="s">
        <v>231</v>
      </c>
      <c r="C72" s="1" t="str">
        <f>gminy_26[[#This Row],[kod gminy]]</f>
        <v>2605052</v>
      </c>
      <c r="D72" s="1" t="s">
        <v>66</v>
      </c>
      <c r="E72" s="1" t="str">
        <f>VLOOKUP(gminy_26[[#This Row],[kod powiatu]],powiaty_26[],katalogi!$B$1,FALSE)</f>
        <v>konecki</v>
      </c>
      <c r="F72" s="1" t="s">
        <v>60</v>
      </c>
      <c r="G72" s="1" t="str">
        <f>VLOOKUP(gminy_26[[#This Row],[kod strefy]],strefy_26[],2,FALSE)</f>
        <v>strefa świętokrzyska</v>
      </c>
      <c r="H72" s="35">
        <v>30150</v>
      </c>
      <c r="I72" s="35">
        <v>0</v>
      </c>
      <c r="J72" s="35">
        <v>860</v>
      </c>
      <c r="K72" s="35">
        <v>1610</v>
      </c>
      <c r="L72" s="35">
        <v>1820</v>
      </c>
      <c r="M72" s="35">
        <v>7970</v>
      </c>
      <c r="N72" s="35">
        <v>7970</v>
      </c>
      <c r="O72" s="38">
        <v>9920</v>
      </c>
      <c r="P72" s="38">
        <v>1</v>
      </c>
      <c r="Q72" s="38">
        <v>5</v>
      </c>
    </row>
    <row r="73" spans="1:17" hidden="1" x14ac:dyDescent="0.2">
      <c r="A73" s="1" t="s">
        <v>232</v>
      </c>
      <c r="B73" s="1" t="s">
        <v>233</v>
      </c>
      <c r="C73" s="1" t="str">
        <f>gminy_26[[#This Row],[kod gminy]]</f>
        <v>2612062</v>
      </c>
      <c r="D73" s="1" t="s">
        <v>73</v>
      </c>
      <c r="E73" s="1" t="str">
        <f>VLOOKUP(gminy_26[[#This Row],[kod powiatu]],powiaty_26[],katalogi!$B$1,FALSE)</f>
        <v>staszowski</v>
      </c>
      <c r="F73" s="1" t="s">
        <v>60</v>
      </c>
      <c r="G73" s="1" t="str">
        <f>VLOOKUP(gminy_26[[#This Row],[kod strefy]],strefy_26[],2,FALSE)</f>
        <v>strefa świętokrzyska</v>
      </c>
      <c r="H73" s="35">
        <v>60580</v>
      </c>
      <c r="I73" s="35">
        <v>0</v>
      </c>
      <c r="J73" s="35">
        <v>3550</v>
      </c>
      <c r="K73" s="35">
        <v>6650</v>
      </c>
      <c r="L73" s="35">
        <v>7540</v>
      </c>
      <c r="M73" s="35">
        <v>13740</v>
      </c>
      <c r="N73" s="35">
        <v>13740</v>
      </c>
      <c r="O73" s="38">
        <v>15360</v>
      </c>
      <c r="P73" s="38">
        <v>1</v>
      </c>
      <c r="Q73" s="38">
        <v>5</v>
      </c>
    </row>
    <row r="74" spans="1:17" hidden="1" x14ac:dyDescent="0.2">
      <c r="A74" s="1" t="s">
        <v>234</v>
      </c>
      <c r="B74" s="1" t="s">
        <v>235</v>
      </c>
      <c r="C74" s="1" t="str">
        <f>gminy_26[[#This Row],[kod gminy]]</f>
        <v>2606062</v>
      </c>
      <c r="D74" s="1" t="s">
        <v>67</v>
      </c>
      <c r="E74" s="1" t="str">
        <f>VLOOKUP(gminy_26[[#This Row],[kod powiatu]],powiaty_26[],katalogi!$B$1,FALSE)</f>
        <v>opatowski</v>
      </c>
      <c r="F74" s="1" t="s">
        <v>60</v>
      </c>
      <c r="G74" s="1" t="str">
        <f>VLOOKUP(gminy_26[[#This Row],[kod strefy]],strefy_26[],2,FALSE)</f>
        <v>strefa świętokrzyska</v>
      </c>
      <c r="H74" s="35">
        <v>23480</v>
      </c>
      <c r="I74" s="35">
        <v>0</v>
      </c>
      <c r="J74" s="35">
        <v>130</v>
      </c>
      <c r="K74" s="35">
        <v>250</v>
      </c>
      <c r="L74" s="35">
        <v>280</v>
      </c>
      <c r="M74" s="35">
        <v>6880</v>
      </c>
      <c r="N74" s="35">
        <v>6880</v>
      </c>
      <c r="O74" s="38">
        <v>9060</v>
      </c>
      <c r="P74" s="38">
        <v>1</v>
      </c>
      <c r="Q74" s="38">
        <v>5</v>
      </c>
    </row>
    <row r="75" spans="1:17" hidden="1" x14ac:dyDescent="0.2">
      <c r="A75" s="1" t="s">
        <v>236</v>
      </c>
      <c r="B75" s="1" t="s">
        <v>237</v>
      </c>
      <c r="C75" s="1" t="str">
        <f>gminy_26[[#This Row],[kod gminy]]</f>
        <v>2609072</v>
      </c>
      <c r="D75" s="1" t="s">
        <v>70</v>
      </c>
      <c r="E75" s="1" t="str">
        <f>VLOOKUP(gminy_26[[#This Row],[kod powiatu]],powiaty_26[],katalogi!$B$1,FALSE)</f>
        <v>sandomierski</v>
      </c>
      <c r="F75" s="1" t="s">
        <v>60</v>
      </c>
      <c r="G75" s="1" t="str">
        <f>VLOOKUP(gminy_26[[#This Row],[kod strefy]],strefy_26[],2,FALSE)</f>
        <v>strefa świętokrzyska</v>
      </c>
      <c r="H75" s="35">
        <v>36460</v>
      </c>
      <c r="I75" s="35">
        <v>0</v>
      </c>
      <c r="J75" s="35">
        <v>1220</v>
      </c>
      <c r="K75" s="35">
        <v>2280</v>
      </c>
      <c r="L75" s="35">
        <v>2580</v>
      </c>
      <c r="M75" s="35">
        <v>9420</v>
      </c>
      <c r="N75" s="35">
        <v>9420</v>
      </c>
      <c r="O75" s="38">
        <v>11540</v>
      </c>
      <c r="P75" s="38">
        <v>1</v>
      </c>
      <c r="Q75" s="38">
        <v>5</v>
      </c>
    </row>
    <row r="76" spans="1:17" hidden="1" x14ac:dyDescent="0.2">
      <c r="A76" s="1" t="s">
        <v>238</v>
      </c>
      <c r="B76" s="1" t="s">
        <v>239</v>
      </c>
      <c r="C76" s="1" t="str">
        <f>gminy_26[[#This Row],[kod gminy]]</f>
        <v>2609011</v>
      </c>
      <c r="D76" s="1" t="s">
        <v>70</v>
      </c>
      <c r="E76" s="1" t="str">
        <f>VLOOKUP(gminy_26[[#This Row],[kod powiatu]],powiaty_26[],katalogi!$B$1,FALSE)</f>
        <v>sandomierski</v>
      </c>
      <c r="F76" s="1" t="s">
        <v>60</v>
      </c>
      <c r="G76" s="1" t="str">
        <f>VLOOKUP(gminy_26[[#This Row],[kod strefy]],strefy_26[],2,FALSE)</f>
        <v>strefa świętokrzyska</v>
      </c>
      <c r="H76" s="35">
        <v>73140</v>
      </c>
      <c r="I76" s="35">
        <v>0</v>
      </c>
      <c r="J76" s="35">
        <v>2570</v>
      </c>
      <c r="K76" s="35">
        <v>4820</v>
      </c>
      <c r="L76" s="35">
        <v>5470</v>
      </c>
      <c r="M76" s="35">
        <v>18730</v>
      </c>
      <c r="N76" s="35">
        <v>18730</v>
      </c>
      <c r="O76" s="38">
        <v>22820</v>
      </c>
      <c r="P76" s="38">
        <v>1</v>
      </c>
      <c r="Q76" s="38">
        <v>20</v>
      </c>
    </row>
    <row r="77" spans="1:17" hidden="1" x14ac:dyDescent="0.2">
      <c r="A77" s="1" t="s">
        <v>240</v>
      </c>
      <c r="B77" s="1" t="s">
        <v>241</v>
      </c>
      <c r="C77" s="1" t="str">
        <f>gminy_26[[#This Row],[kod gminy]]</f>
        <v>2613052</v>
      </c>
      <c r="D77" s="1" t="s">
        <v>74</v>
      </c>
      <c r="E77" s="1" t="str">
        <f>VLOOKUP(gminy_26[[#This Row],[kod powiatu]],powiaty_26[],katalogi!$B$1,FALSE)</f>
        <v>włoszczowski</v>
      </c>
      <c r="F77" s="1" t="s">
        <v>60</v>
      </c>
      <c r="G77" s="1" t="str">
        <f>VLOOKUP(gminy_26[[#This Row],[kod strefy]],strefy_26[],2,FALSE)</f>
        <v>strefa świętokrzyska</v>
      </c>
      <c r="H77" s="35">
        <v>38170</v>
      </c>
      <c r="I77" s="35">
        <v>0</v>
      </c>
      <c r="J77" s="35">
        <v>540</v>
      </c>
      <c r="K77" s="35">
        <v>1010</v>
      </c>
      <c r="L77" s="35">
        <v>1140</v>
      </c>
      <c r="M77" s="35">
        <v>10780</v>
      </c>
      <c r="N77" s="35">
        <v>10780</v>
      </c>
      <c r="O77" s="38">
        <v>13920</v>
      </c>
      <c r="P77" s="38">
        <v>1</v>
      </c>
      <c r="Q77" s="38">
        <v>5</v>
      </c>
    </row>
    <row r="78" spans="1:17" hidden="1" x14ac:dyDescent="0.2">
      <c r="A78" s="1" t="s">
        <v>242</v>
      </c>
      <c r="B78" s="1" t="s">
        <v>243</v>
      </c>
      <c r="C78" s="1" t="str">
        <f>gminy_26[[#This Row],[kod gminy]]</f>
        <v>2602063</v>
      </c>
      <c r="D78" s="1" t="s">
        <v>63</v>
      </c>
      <c r="E78" s="1" t="str">
        <f>VLOOKUP(gminy_26[[#This Row],[kod powiatu]],powiaty_26[],katalogi!$B$1,FALSE)</f>
        <v>jędrzejowski</v>
      </c>
      <c r="F78" s="1" t="s">
        <v>60</v>
      </c>
      <c r="G78" s="1" t="str">
        <f>VLOOKUP(gminy_26[[#This Row],[kod strefy]],strefy_26[],2,FALSE)</f>
        <v>strefa świętokrzyska</v>
      </c>
      <c r="H78" s="35">
        <v>127570</v>
      </c>
      <c r="I78" s="35">
        <v>0</v>
      </c>
      <c r="J78" s="35">
        <v>5390</v>
      </c>
      <c r="K78" s="35">
        <v>10110</v>
      </c>
      <c r="L78" s="35">
        <v>11460</v>
      </c>
      <c r="M78" s="35">
        <v>31530</v>
      </c>
      <c r="N78" s="35">
        <v>31530</v>
      </c>
      <c r="O78" s="38">
        <v>37550</v>
      </c>
      <c r="P78" s="38">
        <v>1</v>
      </c>
      <c r="Q78" s="38">
        <v>20</v>
      </c>
    </row>
    <row r="79" spans="1:17" hidden="1" x14ac:dyDescent="0.2">
      <c r="A79" s="1" t="s">
        <v>245</v>
      </c>
      <c r="B79" s="1" t="s">
        <v>246</v>
      </c>
      <c r="C79" s="1" t="str">
        <f>gminy_26[[#This Row],[kod gminy]]</f>
        <v>2603053</v>
      </c>
      <c r="D79" s="1" t="s">
        <v>64</v>
      </c>
      <c r="E79" s="1" t="str">
        <f>VLOOKUP(gminy_26[[#This Row],[kod powiatu]],powiaty_26[],katalogi!$B$1,FALSE)</f>
        <v>kazimierski</v>
      </c>
      <c r="F79" s="1" t="s">
        <v>60</v>
      </c>
      <c r="G79" s="1" t="str">
        <f>VLOOKUP(gminy_26[[#This Row],[kod strefy]],strefy_26[],2,FALSE)</f>
        <v>strefa świętokrzyska</v>
      </c>
      <c r="H79" s="35">
        <v>47650</v>
      </c>
      <c r="I79" s="35">
        <v>0</v>
      </c>
      <c r="J79" s="35">
        <v>1370</v>
      </c>
      <c r="K79" s="35">
        <v>2570</v>
      </c>
      <c r="L79" s="35">
        <v>2920</v>
      </c>
      <c r="M79" s="35">
        <v>12580</v>
      </c>
      <c r="N79" s="35">
        <v>12580</v>
      </c>
      <c r="O79" s="38">
        <v>15630</v>
      </c>
      <c r="P79" s="38">
        <v>1</v>
      </c>
      <c r="Q79" s="38">
        <v>20</v>
      </c>
    </row>
    <row r="80" spans="1:17" hidden="1" x14ac:dyDescent="0.2">
      <c r="A80" s="1" t="s">
        <v>247</v>
      </c>
      <c r="B80" s="1" t="s">
        <v>248</v>
      </c>
      <c r="C80" s="1" t="str">
        <f>gminy_26[[#This Row],[kod gminy]]</f>
        <v>2610042</v>
      </c>
      <c r="D80" s="1" t="s">
        <v>71</v>
      </c>
      <c r="E80" s="1" t="str">
        <f>VLOOKUP(gminy_26[[#This Row],[kod powiatu]],powiaty_26[],katalogi!$B$1,FALSE)</f>
        <v>skarżyski</v>
      </c>
      <c r="F80" s="1" t="s">
        <v>60</v>
      </c>
      <c r="G80" s="1" t="str">
        <f>VLOOKUP(gminy_26[[#This Row],[kod strefy]],strefy_26[],2,FALSE)</f>
        <v>strefa świętokrzyska</v>
      </c>
      <c r="H80" s="35">
        <v>64660</v>
      </c>
      <c r="I80" s="35">
        <v>0</v>
      </c>
      <c r="J80" s="35">
        <v>1720</v>
      </c>
      <c r="K80" s="35">
        <v>3220</v>
      </c>
      <c r="L80" s="35">
        <v>3650</v>
      </c>
      <c r="M80" s="35">
        <v>17250</v>
      </c>
      <c r="N80" s="35">
        <v>17250</v>
      </c>
      <c r="O80" s="38">
        <v>21570</v>
      </c>
      <c r="P80" s="38">
        <v>1</v>
      </c>
      <c r="Q80" s="38">
        <v>5</v>
      </c>
    </row>
    <row r="81" spans="1:17" hidden="1" x14ac:dyDescent="0.2">
      <c r="A81" s="1" t="s">
        <v>249</v>
      </c>
      <c r="B81" s="1" t="s">
        <v>250</v>
      </c>
      <c r="C81" s="1" t="str">
        <f>gminy_26[[#This Row],[kod gminy]]</f>
        <v>2610011</v>
      </c>
      <c r="D81" s="1" t="s">
        <v>71</v>
      </c>
      <c r="E81" s="1" t="str">
        <f>VLOOKUP(gminy_26[[#This Row],[kod powiatu]],powiaty_26[],katalogi!$B$1,FALSE)</f>
        <v>skarżyski</v>
      </c>
      <c r="F81" s="1" t="s">
        <v>60</v>
      </c>
      <c r="G81" s="1" t="str">
        <f>VLOOKUP(gminy_26[[#This Row],[kod strefy]],strefy_26[],2,FALSE)</f>
        <v>strefa świętokrzyska</v>
      </c>
      <c r="H81" s="35">
        <v>259800</v>
      </c>
      <c r="I81" s="35">
        <v>0</v>
      </c>
      <c r="J81" s="35">
        <v>6920</v>
      </c>
      <c r="K81" s="35">
        <v>12980</v>
      </c>
      <c r="L81" s="35">
        <v>14700</v>
      </c>
      <c r="M81" s="35">
        <v>69290</v>
      </c>
      <c r="N81" s="35">
        <v>69290</v>
      </c>
      <c r="O81" s="38">
        <v>86620</v>
      </c>
      <c r="P81" s="38">
        <v>1</v>
      </c>
      <c r="Q81" s="38">
        <v>20</v>
      </c>
    </row>
    <row r="82" spans="1:17" hidden="1" x14ac:dyDescent="0.2">
      <c r="A82" s="1" t="s">
        <v>251</v>
      </c>
      <c r="B82" s="1" t="s">
        <v>252</v>
      </c>
      <c r="C82" s="1" t="str">
        <f>gminy_26[[#This Row],[kod gminy]]</f>
        <v>2602072</v>
      </c>
      <c r="D82" s="1" t="s">
        <v>63</v>
      </c>
      <c r="E82" s="1" t="str">
        <f>VLOOKUP(gminy_26[[#This Row],[kod powiatu]],powiaty_26[],katalogi!$B$1,FALSE)</f>
        <v>jędrzejowski</v>
      </c>
      <c r="F82" s="1" t="s">
        <v>60</v>
      </c>
      <c r="G82" s="1" t="str">
        <f>VLOOKUP(gminy_26[[#This Row],[kod strefy]],strefy_26[],2,FALSE)</f>
        <v>strefa świętokrzyska</v>
      </c>
      <c r="H82" s="35">
        <v>46240</v>
      </c>
      <c r="I82" s="35">
        <v>0</v>
      </c>
      <c r="J82" s="35">
        <v>1930</v>
      </c>
      <c r="K82" s="35">
        <v>3620</v>
      </c>
      <c r="L82" s="35">
        <v>4100</v>
      </c>
      <c r="M82" s="35">
        <v>11460</v>
      </c>
      <c r="N82" s="35">
        <v>11460</v>
      </c>
      <c r="O82" s="38">
        <v>13670</v>
      </c>
      <c r="P82" s="38">
        <v>1</v>
      </c>
      <c r="Q82" s="38">
        <v>5</v>
      </c>
    </row>
    <row r="83" spans="1:17" hidden="1" x14ac:dyDescent="0.2">
      <c r="A83" s="1" t="s">
        <v>253</v>
      </c>
      <c r="B83" s="1" t="s">
        <v>504</v>
      </c>
      <c r="C83" s="1" t="str">
        <f>gminy_26[[#This Row],[kod gminy]]</f>
        <v>2605062</v>
      </c>
      <c r="D83" s="1" t="s">
        <v>66</v>
      </c>
      <c r="E83" s="1" t="str">
        <f>VLOOKUP(gminy_26[[#This Row],[kod powiatu]],powiaty_26[],katalogi!$B$1,FALSE)</f>
        <v>konecki</v>
      </c>
      <c r="F83" s="1" t="s">
        <v>60</v>
      </c>
      <c r="G83" s="1" t="str">
        <f>VLOOKUP(gminy_26[[#This Row],[kod strefy]],strefy_26[],2,FALSE)</f>
        <v>strefa świętokrzyska</v>
      </c>
      <c r="H83" s="35">
        <v>33300</v>
      </c>
      <c r="I83" s="35">
        <v>0</v>
      </c>
      <c r="J83" s="35">
        <v>1000</v>
      </c>
      <c r="K83" s="35">
        <v>1860</v>
      </c>
      <c r="L83" s="35">
        <v>2110</v>
      </c>
      <c r="M83" s="35">
        <v>8750</v>
      </c>
      <c r="N83" s="35">
        <v>8750</v>
      </c>
      <c r="O83" s="38">
        <v>10830</v>
      </c>
      <c r="P83" s="38">
        <v>1</v>
      </c>
      <c r="Q83" s="38">
        <v>5</v>
      </c>
    </row>
    <row r="84" spans="1:17" hidden="1" x14ac:dyDescent="0.2">
      <c r="A84" s="1" t="s">
        <v>254</v>
      </c>
      <c r="B84" s="1" t="s">
        <v>255</v>
      </c>
      <c r="C84" s="1" t="str">
        <f>gminy_26[[#This Row],[kod gminy]]</f>
        <v>2605072</v>
      </c>
      <c r="D84" s="1" t="s">
        <v>66</v>
      </c>
      <c r="E84" s="1" t="str">
        <f>VLOOKUP(gminy_26[[#This Row],[kod powiatu]],powiaty_26[],katalogi!$B$1,FALSE)</f>
        <v>konecki</v>
      </c>
      <c r="F84" s="1" t="s">
        <v>60</v>
      </c>
      <c r="G84" s="1" t="str">
        <f>VLOOKUP(gminy_26[[#This Row],[kod strefy]],strefy_26[],2,FALSE)</f>
        <v>strefa świętokrzyska</v>
      </c>
      <c r="H84" s="35">
        <v>38060</v>
      </c>
      <c r="I84" s="35">
        <v>0</v>
      </c>
      <c r="J84" s="35">
        <v>1150</v>
      </c>
      <c r="K84" s="35">
        <v>2160</v>
      </c>
      <c r="L84" s="35">
        <v>2440</v>
      </c>
      <c r="M84" s="35">
        <v>9980</v>
      </c>
      <c r="N84" s="35">
        <v>9980</v>
      </c>
      <c r="O84" s="38">
        <v>12350</v>
      </c>
      <c r="P84" s="38">
        <v>1</v>
      </c>
      <c r="Q84" s="38">
        <v>5</v>
      </c>
    </row>
    <row r="85" spans="1:17" hidden="1" x14ac:dyDescent="0.2">
      <c r="A85" s="1" t="s">
        <v>256</v>
      </c>
      <c r="B85" s="1" t="s">
        <v>257</v>
      </c>
      <c r="C85" s="1" t="str">
        <f>gminy_26[[#This Row],[kod gminy]]</f>
        <v>2602082</v>
      </c>
      <c r="D85" s="1" t="s">
        <v>63</v>
      </c>
      <c r="E85" s="1" t="str">
        <f>VLOOKUP(gminy_26[[#This Row],[kod powiatu]],powiaty_26[],katalogi!$B$1,FALSE)</f>
        <v>jędrzejowski</v>
      </c>
      <c r="F85" s="1" t="s">
        <v>60</v>
      </c>
      <c r="G85" s="1" t="str">
        <f>VLOOKUP(gminy_26[[#This Row],[kod strefy]],strefy_26[],2,FALSE)</f>
        <v>strefa świętokrzyska</v>
      </c>
      <c r="H85" s="35">
        <v>91020</v>
      </c>
      <c r="I85" s="35">
        <v>0</v>
      </c>
      <c r="J85" s="35">
        <v>3810</v>
      </c>
      <c r="K85" s="35">
        <v>7130</v>
      </c>
      <c r="L85" s="35">
        <v>8080</v>
      </c>
      <c r="M85" s="35">
        <v>22550</v>
      </c>
      <c r="N85" s="35">
        <v>22550</v>
      </c>
      <c r="O85" s="38">
        <v>26900</v>
      </c>
      <c r="P85" s="38">
        <v>1</v>
      </c>
      <c r="Q85" s="38">
        <v>5</v>
      </c>
    </row>
    <row r="86" spans="1:17" hidden="1" x14ac:dyDescent="0.2">
      <c r="A86" s="1" t="s">
        <v>258</v>
      </c>
      <c r="B86" s="1" t="s">
        <v>259</v>
      </c>
      <c r="C86" s="1" t="str">
        <f>gminy_26[[#This Row],[kod gminy]]</f>
        <v>2601052</v>
      </c>
      <c r="D86" s="1" t="s">
        <v>62</v>
      </c>
      <c r="E86" s="1" t="str">
        <f>VLOOKUP(gminy_26[[#This Row],[kod powiatu]],powiaty_26[],katalogi!$B$1,FALSE)</f>
        <v>buski</v>
      </c>
      <c r="F86" s="1" t="s">
        <v>60</v>
      </c>
      <c r="G86" s="1" t="str">
        <f>VLOOKUP(gminy_26[[#This Row],[kod strefy]],strefy_26[],2,FALSE)</f>
        <v>strefa świętokrzyska</v>
      </c>
      <c r="H86" s="35">
        <v>42560</v>
      </c>
      <c r="I86" s="35">
        <v>0</v>
      </c>
      <c r="J86" s="35">
        <v>1770</v>
      </c>
      <c r="K86" s="35">
        <v>3320</v>
      </c>
      <c r="L86" s="35">
        <v>3770</v>
      </c>
      <c r="M86" s="35">
        <v>10550</v>
      </c>
      <c r="N86" s="35">
        <v>10550</v>
      </c>
      <c r="O86" s="38">
        <v>12600</v>
      </c>
      <c r="P86" s="38">
        <v>1</v>
      </c>
      <c r="Q86" s="38">
        <v>5</v>
      </c>
    </row>
    <row r="87" spans="1:17" hidden="1" x14ac:dyDescent="0.2">
      <c r="A87" s="1" t="s">
        <v>260</v>
      </c>
      <c r="B87" s="1" t="s">
        <v>261</v>
      </c>
      <c r="C87" s="1" t="str">
        <f>gminy_26[[#This Row],[kod gminy]]</f>
        <v>2611011</v>
      </c>
      <c r="D87" s="1" t="s">
        <v>72</v>
      </c>
      <c r="E87" s="1" t="str">
        <f>VLOOKUP(gminy_26[[#This Row],[kod powiatu]],powiaty_26[],katalogi!$B$1,FALSE)</f>
        <v>starachowicki</v>
      </c>
      <c r="F87" s="1" t="s">
        <v>60</v>
      </c>
      <c r="G87" s="1" t="str">
        <f>VLOOKUP(gminy_26[[#This Row],[kod strefy]],strefy_26[],2,FALSE)</f>
        <v>strefa świętokrzyska</v>
      </c>
      <c r="H87" s="35">
        <v>279880</v>
      </c>
      <c r="I87" s="35">
        <v>0</v>
      </c>
      <c r="J87" s="35">
        <v>7990</v>
      </c>
      <c r="K87" s="35">
        <v>14980</v>
      </c>
      <c r="L87" s="35">
        <v>16970</v>
      </c>
      <c r="M87" s="35">
        <v>73980</v>
      </c>
      <c r="N87" s="35">
        <v>73980</v>
      </c>
      <c r="O87" s="38">
        <v>91980</v>
      </c>
      <c r="P87" s="38">
        <v>1</v>
      </c>
      <c r="Q87" s="38">
        <v>20</v>
      </c>
    </row>
    <row r="88" spans="1:17" hidden="1" x14ac:dyDescent="0.2">
      <c r="A88" s="1" t="s">
        <v>262</v>
      </c>
      <c r="B88" s="1" t="s">
        <v>263</v>
      </c>
      <c r="C88" s="1" t="str">
        <f>gminy_26[[#This Row],[kod gminy]]</f>
        <v>2612073</v>
      </c>
      <c r="D88" s="1" t="s">
        <v>73</v>
      </c>
      <c r="E88" s="1" t="str">
        <f>VLOOKUP(gminy_26[[#This Row],[kod powiatu]],powiaty_26[],katalogi!$B$1,FALSE)</f>
        <v>staszowski</v>
      </c>
      <c r="F88" s="1" t="s">
        <v>60</v>
      </c>
      <c r="G88" s="1" t="str">
        <f>VLOOKUP(gminy_26[[#This Row],[kod strefy]],strefy_26[],2,FALSE)</f>
        <v>strefa świętokrzyska</v>
      </c>
      <c r="H88" s="35">
        <v>189050</v>
      </c>
      <c r="I88" s="35">
        <v>0</v>
      </c>
      <c r="J88" s="35">
        <v>11230</v>
      </c>
      <c r="K88" s="35">
        <v>21050</v>
      </c>
      <c r="L88" s="35">
        <v>23860</v>
      </c>
      <c r="M88" s="35">
        <v>42680</v>
      </c>
      <c r="N88" s="35">
        <v>42680</v>
      </c>
      <c r="O88" s="38">
        <v>47550</v>
      </c>
      <c r="P88" s="38">
        <v>1</v>
      </c>
      <c r="Q88" s="38">
        <v>20</v>
      </c>
    </row>
    <row r="89" spans="1:17" hidden="1" x14ac:dyDescent="0.2">
      <c r="A89" s="1" t="s">
        <v>264</v>
      </c>
      <c r="B89" s="1" t="s">
        <v>265</v>
      </c>
      <c r="C89" s="1" t="str">
        <f>gminy_26[[#This Row],[kod gminy]]</f>
        <v>2605083</v>
      </c>
      <c r="D89" s="1" t="s">
        <v>66</v>
      </c>
      <c r="E89" s="1" t="str">
        <f>VLOOKUP(gminy_26[[#This Row],[kod powiatu]],powiaty_26[],katalogi!$B$1,FALSE)</f>
        <v>konecki</v>
      </c>
      <c r="F89" s="1" t="s">
        <v>60</v>
      </c>
      <c r="G89" s="1" t="str">
        <f>VLOOKUP(gminy_26[[#This Row],[kod strefy]],strefy_26[],2,FALSE)</f>
        <v>strefa świętokrzyska</v>
      </c>
      <c r="H89" s="35">
        <v>152010</v>
      </c>
      <c r="I89" s="35">
        <v>0</v>
      </c>
      <c r="J89" s="35">
        <v>4580</v>
      </c>
      <c r="K89" s="35">
        <v>8580</v>
      </c>
      <c r="L89" s="35">
        <v>9730</v>
      </c>
      <c r="M89" s="35">
        <v>39880</v>
      </c>
      <c r="N89" s="35">
        <v>39880</v>
      </c>
      <c r="O89" s="38">
        <v>49360</v>
      </c>
      <c r="P89" s="38">
        <v>1</v>
      </c>
      <c r="Q89" s="38">
        <v>20</v>
      </c>
    </row>
    <row r="90" spans="1:17" hidden="1" x14ac:dyDescent="0.2">
      <c r="A90" s="1" t="s">
        <v>266</v>
      </c>
      <c r="B90" s="1" t="s">
        <v>267</v>
      </c>
      <c r="C90" s="1" t="str">
        <f>gminy_26[[#This Row],[kod gminy]]</f>
        <v>2601063</v>
      </c>
      <c r="D90" s="1" t="s">
        <v>62</v>
      </c>
      <c r="E90" s="1" t="str">
        <f>VLOOKUP(gminy_26[[#This Row],[kod powiatu]],powiaty_26[],katalogi!$B$1,FALSE)</f>
        <v>buski</v>
      </c>
      <c r="F90" s="1" t="s">
        <v>60</v>
      </c>
      <c r="G90" s="1" t="str">
        <f>VLOOKUP(gminy_26[[#This Row],[kod strefy]],strefy_26[],2,FALSE)</f>
        <v>strefa świętokrzyska</v>
      </c>
      <c r="H90" s="35">
        <v>74030</v>
      </c>
      <c r="I90" s="35">
        <v>0</v>
      </c>
      <c r="J90" s="35">
        <v>3120</v>
      </c>
      <c r="K90" s="35">
        <v>5850</v>
      </c>
      <c r="L90" s="35">
        <v>6630</v>
      </c>
      <c r="M90" s="35">
        <v>18310</v>
      </c>
      <c r="N90" s="35">
        <v>18310</v>
      </c>
      <c r="O90" s="38">
        <v>21810</v>
      </c>
      <c r="P90" s="38">
        <v>1</v>
      </c>
      <c r="Q90" s="38">
        <v>20</v>
      </c>
    </row>
    <row r="91" spans="1:17" x14ac:dyDescent="0.2">
      <c r="A91" s="1" t="s">
        <v>268</v>
      </c>
      <c r="B91" s="1" t="s">
        <v>269</v>
      </c>
      <c r="C91" s="1" t="str">
        <f>gminy_26[[#This Row],[kod gminy]]</f>
        <v>2604182</v>
      </c>
      <c r="D91" s="1" t="s">
        <v>65</v>
      </c>
      <c r="E91" s="1" t="str">
        <f>VLOOKUP(gminy_26[[#This Row],[kod powiatu]],powiaty_26[],katalogi!$B$1,FALSE)</f>
        <v>kielecki</v>
      </c>
      <c r="F91" s="1" t="s">
        <v>60</v>
      </c>
      <c r="G91" s="1" t="str">
        <f>VLOOKUP(gminy_26[[#This Row],[kod strefy]],strefy_26[],2,FALSE)</f>
        <v>strefa świętokrzyska</v>
      </c>
      <c r="H91" s="35">
        <v>127580</v>
      </c>
      <c r="I91" s="35">
        <v>0</v>
      </c>
      <c r="J91" s="35">
        <v>5070</v>
      </c>
      <c r="K91" s="35">
        <v>9500</v>
      </c>
      <c r="L91" s="35">
        <v>10760</v>
      </c>
      <c r="M91" s="35">
        <v>31940</v>
      </c>
      <c r="N91" s="35">
        <v>31940</v>
      </c>
      <c r="O91" s="38">
        <v>38370</v>
      </c>
      <c r="P91" s="38">
        <v>1</v>
      </c>
      <c r="Q91" s="38">
        <v>5</v>
      </c>
    </row>
    <row r="92" spans="1:17" hidden="1" x14ac:dyDescent="0.2">
      <c r="A92" s="1" t="s">
        <v>270</v>
      </c>
      <c r="B92" s="1" t="s">
        <v>271</v>
      </c>
      <c r="C92" s="1" t="str">
        <f>gminy_26[[#This Row],[kod gminy]]</f>
        <v>2610053</v>
      </c>
      <c r="D92" s="1" t="s">
        <v>71</v>
      </c>
      <c r="E92" s="1" t="str">
        <f>VLOOKUP(gminy_26[[#This Row],[kod powiatu]],powiaty_26[],katalogi!$B$1,FALSE)</f>
        <v>skarżyski</v>
      </c>
      <c r="F92" s="1" t="s">
        <v>60</v>
      </c>
      <c r="G92" s="1" t="str">
        <f>VLOOKUP(gminy_26[[#This Row],[kod strefy]],strefy_26[],2,FALSE)</f>
        <v>strefa świętokrzyska</v>
      </c>
      <c r="H92" s="35">
        <v>86450</v>
      </c>
      <c r="I92" s="35">
        <v>0</v>
      </c>
      <c r="J92" s="35">
        <v>2260</v>
      </c>
      <c r="K92" s="35">
        <v>4240</v>
      </c>
      <c r="L92" s="35">
        <v>4800</v>
      </c>
      <c r="M92" s="35">
        <v>23110</v>
      </c>
      <c r="N92" s="35">
        <v>23110</v>
      </c>
      <c r="O92" s="38">
        <v>28930</v>
      </c>
      <c r="P92" s="38">
        <v>1</v>
      </c>
      <c r="Q92" s="38">
        <v>20</v>
      </c>
    </row>
    <row r="93" spans="1:17" hidden="1" x14ac:dyDescent="0.2">
      <c r="A93" s="1" t="s">
        <v>272</v>
      </c>
      <c r="B93" s="1" t="s">
        <v>273</v>
      </c>
      <c r="C93" s="1" t="str">
        <f>gminy_26[[#This Row],[kod gminy]]</f>
        <v>2612082</v>
      </c>
      <c r="D93" s="1" t="s">
        <v>73</v>
      </c>
      <c r="E93" s="1" t="str">
        <f>VLOOKUP(gminy_26[[#This Row],[kod powiatu]],powiaty_26[],katalogi!$B$1,FALSE)</f>
        <v>staszowski</v>
      </c>
      <c r="F93" s="1" t="s">
        <v>60</v>
      </c>
      <c r="G93" s="1" t="str">
        <f>VLOOKUP(gminy_26[[#This Row],[kod strefy]],strefy_26[],2,FALSE)</f>
        <v>strefa świętokrzyska</v>
      </c>
      <c r="H93" s="35">
        <v>46840</v>
      </c>
      <c r="I93" s="35">
        <v>0</v>
      </c>
      <c r="J93" s="35">
        <v>2760</v>
      </c>
      <c r="K93" s="35">
        <v>5160</v>
      </c>
      <c r="L93" s="35">
        <v>5850</v>
      </c>
      <c r="M93" s="35">
        <v>10610</v>
      </c>
      <c r="N93" s="35">
        <v>10610</v>
      </c>
      <c r="O93" s="38">
        <v>11850</v>
      </c>
      <c r="P93" s="38">
        <v>1</v>
      </c>
      <c r="Q93" s="38">
        <v>20</v>
      </c>
    </row>
    <row r="94" spans="1:17" hidden="1" x14ac:dyDescent="0.2">
      <c r="A94" s="1" t="s">
        <v>274</v>
      </c>
      <c r="B94" s="1" t="s">
        <v>275</v>
      </c>
      <c r="C94" s="1" t="str">
        <f>gminy_26[[#This Row],[kod gminy]]</f>
        <v>2606072</v>
      </c>
      <c r="D94" s="1" t="s">
        <v>67</v>
      </c>
      <c r="E94" s="1" t="str">
        <f>VLOOKUP(gminy_26[[#This Row],[kod powiatu]],powiaty_26[],katalogi!$B$1,FALSE)</f>
        <v>opatowski</v>
      </c>
      <c r="F94" s="1" t="s">
        <v>60</v>
      </c>
      <c r="G94" s="1" t="str">
        <f>VLOOKUP(gminy_26[[#This Row],[kod strefy]],strefy_26[],2,FALSE)</f>
        <v>strefa świętokrzyska</v>
      </c>
      <c r="H94" s="35">
        <v>35980</v>
      </c>
      <c r="I94" s="35">
        <v>0</v>
      </c>
      <c r="J94" s="35">
        <v>260</v>
      </c>
      <c r="K94" s="35">
        <v>480</v>
      </c>
      <c r="L94" s="35">
        <v>550</v>
      </c>
      <c r="M94" s="35">
        <v>10470</v>
      </c>
      <c r="N94" s="35">
        <v>10470</v>
      </c>
      <c r="O94" s="38">
        <v>13750</v>
      </c>
      <c r="P94" s="38">
        <v>1</v>
      </c>
      <c r="Q94" s="38">
        <v>5</v>
      </c>
    </row>
    <row r="95" spans="1:17" hidden="1" x14ac:dyDescent="0.2">
      <c r="A95" s="1" t="s">
        <v>276</v>
      </c>
      <c r="B95" s="1" t="s">
        <v>277</v>
      </c>
      <c r="C95" s="1" t="str">
        <f>gminy_26[[#This Row],[kod gminy]]</f>
        <v>2601072</v>
      </c>
      <c r="D95" s="1" t="s">
        <v>62</v>
      </c>
      <c r="E95" s="1" t="str">
        <f>VLOOKUP(gminy_26[[#This Row],[kod powiatu]],powiaty_26[],katalogi!$B$1,FALSE)</f>
        <v>buski</v>
      </c>
      <c r="F95" s="1" t="s">
        <v>60</v>
      </c>
      <c r="G95" s="1" t="str">
        <f>VLOOKUP(gminy_26[[#This Row],[kod strefy]],strefy_26[],2,FALSE)</f>
        <v>strefa świętokrzyska</v>
      </c>
      <c r="H95" s="35">
        <v>34900</v>
      </c>
      <c r="I95" s="35">
        <v>0</v>
      </c>
      <c r="J95" s="35">
        <v>1460</v>
      </c>
      <c r="K95" s="35">
        <v>2730</v>
      </c>
      <c r="L95" s="35">
        <v>3100</v>
      </c>
      <c r="M95" s="35">
        <v>8650</v>
      </c>
      <c r="N95" s="35">
        <v>8650</v>
      </c>
      <c r="O95" s="38">
        <v>10310</v>
      </c>
      <c r="P95" s="38">
        <v>1</v>
      </c>
      <c r="Q95" s="38">
        <v>5</v>
      </c>
    </row>
    <row r="96" spans="1:17" hidden="1" x14ac:dyDescent="0.2">
      <c r="A96" s="1" t="s">
        <v>278</v>
      </c>
      <c r="B96" s="1" t="s">
        <v>279</v>
      </c>
      <c r="C96" s="1" t="str">
        <f>gminy_26[[#This Row],[kod gminy]]</f>
        <v>2607062</v>
      </c>
      <c r="D96" s="1" t="s">
        <v>68</v>
      </c>
      <c r="E96" s="1" t="str">
        <f>VLOOKUP(gminy_26[[#This Row],[kod powiatu]],powiaty_26[],katalogi!$B$1,FALSE)</f>
        <v>ostrowiecki</v>
      </c>
      <c r="F96" s="1" t="s">
        <v>60</v>
      </c>
      <c r="G96" s="1" t="str">
        <f>VLOOKUP(gminy_26[[#This Row],[kod strefy]],strefy_26[],2,FALSE)</f>
        <v>strefa świętokrzyska</v>
      </c>
      <c r="H96" s="35">
        <v>76760</v>
      </c>
      <c r="I96" s="35">
        <v>0</v>
      </c>
      <c r="J96" s="35">
        <v>3320</v>
      </c>
      <c r="K96" s="35">
        <v>6220</v>
      </c>
      <c r="L96" s="35">
        <v>7050</v>
      </c>
      <c r="M96" s="35">
        <v>18880</v>
      </c>
      <c r="N96" s="35">
        <v>18880</v>
      </c>
      <c r="O96" s="38">
        <v>22410</v>
      </c>
      <c r="P96" s="38">
        <v>1</v>
      </c>
      <c r="Q96" s="38">
        <v>5</v>
      </c>
    </row>
    <row r="97" spans="1:17" hidden="1" x14ac:dyDescent="0.2">
      <c r="A97" s="1" t="s">
        <v>280</v>
      </c>
      <c r="B97" s="1" t="s">
        <v>281</v>
      </c>
      <c r="C97" s="1" t="str">
        <f>gminy_26[[#This Row],[kod gminy]]</f>
        <v>2611053</v>
      </c>
      <c r="D97" s="1" t="s">
        <v>72</v>
      </c>
      <c r="E97" s="1" t="str">
        <f>VLOOKUP(gminy_26[[#This Row],[kod powiatu]],powiaty_26[],katalogi!$B$1,FALSE)</f>
        <v>starachowicki</v>
      </c>
      <c r="F97" s="1" t="s">
        <v>60</v>
      </c>
      <c r="G97" s="1" t="str">
        <f>VLOOKUP(gminy_26[[#This Row],[kod strefy]],strefy_26[],2,FALSE)</f>
        <v>strefa świętokrzyska</v>
      </c>
      <c r="H97" s="35">
        <v>58330</v>
      </c>
      <c r="I97" s="35">
        <v>0</v>
      </c>
      <c r="J97" s="35">
        <v>1620</v>
      </c>
      <c r="K97" s="35">
        <v>3030</v>
      </c>
      <c r="L97" s="35">
        <v>3430</v>
      </c>
      <c r="M97" s="35">
        <v>15480</v>
      </c>
      <c r="N97" s="35">
        <v>15480</v>
      </c>
      <c r="O97" s="38">
        <v>19290</v>
      </c>
      <c r="P97" s="38">
        <v>1</v>
      </c>
      <c r="Q97" s="38">
        <v>20</v>
      </c>
    </row>
    <row r="98" spans="1:17" hidden="1" x14ac:dyDescent="0.2">
      <c r="A98" s="1" t="s">
        <v>282</v>
      </c>
      <c r="B98" s="1" t="s">
        <v>283</v>
      </c>
      <c r="C98" s="1" t="str">
        <f>gminy_26[[#This Row],[kod gminy]]</f>
        <v>2609082</v>
      </c>
      <c r="D98" s="1" t="s">
        <v>70</v>
      </c>
      <c r="E98" s="1" t="str">
        <f>VLOOKUP(gminy_26[[#This Row],[kod powiatu]],powiaty_26[],katalogi!$B$1,FALSE)</f>
        <v>sandomierski</v>
      </c>
      <c r="F98" s="1" t="s">
        <v>60</v>
      </c>
      <c r="G98" s="1" t="str">
        <f>VLOOKUP(gminy_26[[#This Row],[kod strefy]],strefy_26[],2,FALSE)</f>
        <v>strefa świętokrzyska</v>
      </c>
      <c r="H98" s="35">
        <v>21340</v>
      </c>
      <c r="I98" s="35">
        <v>0</v>
      </c>
      <c r="J98" s="35">
        <v>730</v>
      </c>
      <c r="K98" s="35">
        <v>1370</v>
      </c>
      <c r="L98" s="35">
        <v>1550</v>
      </c>
      <c r="M98" s="35">
        <v>5490</v>
      </c>
      <c r="N98" s="35">
        <v>5490</v>
      </c>
      <c r="O98" s="38">
        <v>6710</v>
      </c>
      <c r="P98" s="38">
        <v>1</v>
      </c>
      <c r="Q98" s="38">
        <v>5</v>
      </c>
    </row>
    <row r="99" spans="1:17" hidden="1" x14ac:dyDescent="0.2">
      <c r="A99" s="1" t="s">
        <v>284</v>
      </c>
      <c r="B99" s="1" t="s">
        <v>285</v>
      </c>
      <c r="C99" s="1" t="str">
        <f>gminy_26[[#This Row],[kod gminy]]</f>
        <v>2601083</v>
      </c>
      <c r="D99" s="1" t="s">
        <v>62</v>
      </c>
      <c r="E99" s="1" t="str">
        <f>VLOOKUP(gminy_26[[#This Row],[kod powiatu]],powiaty_26[],katalogi!$B$1,FALSE)</f>
        <v>buski</v>
      </c>
      <c r="F99" s="1" t="s">
        <v>60</v>
      </c>
      <c r="G99" s="1" t="str">
        <f>VLOOKUP(gminy_26[[#This Row],[kod strefy]],strefy_26[],2,FALSE)</f>
        <v>strefa świętokrzyska</v>
      </c>
      <c r="H99" s="35">
        <v>53480</v>
      </c>
      <c r="I99" s="35">
        <v>0</v>
      </c>
      <c r="J99" s="35">
        <v>2200</v>
      </c>
      <c r="K99" s="35">
        <v>4110</v>
      </c>
      <c r="L99" s="35">
        <v>4660</v>
      </c>
      <c r="M99" s="35">
        <v>13300</v>
      </c>
      <c r="N99" s="35">
        <v>13300</v>
      </c>
      <c r="O99" s="38">
        <v>15910</v>
      </c>
      <c r="P99" s="38">
        <v>1</v>
      </c>
      <c r="Q99" s="38">
        <v>20</v>
      </c>
    </row>
    <row r="100" spans="1:17" hidden="1" x14ac:dyDescent="0.2">
      <c r="A100" s="1" t="s">
        <v>286</v>
      </c>
      <c r="B100" s="1" t="s">
        <v>287</v>
      </c>
      <c r="C100" s="1" t="str">
        <f>gminy_26[[#This Row],[kod gminy]]</f>
        <v>2613063</v>
      </c>
      <c r="D100" s="1" t="s">
        <v>74</v>
      </c>
      <c r="E100" s="1" t="str">
        <f>VLOOKUP(gminy_26[[#This Row],[kod powiatu]],powiaty_26[],katalogi!$B$1,FALSE)</f>
        <v>włoszczowski</v>
      </c>
      <c r="F100" s="1" t="s">
        <v>60</v>
      </c>
      <c r="G100" s="1" t="str">
        <f>VLOOKUP(gminy_26[[#This Row],[kod strefy]],strefy_26[],2,FALSE)</f>
        <v>strefa świętokrzyska</v>
      </c>
      <c r="H100" s="35">
        <v>138320</v>
      </c>
      <c r="I100" s="35">
        <v>0</v>
      </c>
      <c r="J100" s="35">
        <v>2220</v>
      </c>
      <c r="K100" s="35">
        <v>4150</v>
      </c>
      <c r="L100" s="35">
        <v>4700</v>
      </c>
      <c r="M100" s="35">
        <v>38730</v>
      </c>
      <c r="N100" s="35">
        <v>38730</v>
      </c>
      <c r="O100" s="38">
        <v>49790</v>
      </c>
      <c r="P100" s="38">
        <v>1</v>
      </c>
      <c r="Q100" s="38">
        <v>20</v>
      </c>
    </row>
    <row r="101" spans="1:17" hidden="1" x14ac:dyDescent="0.2">
      <c r="A101" s="1" t="s">
        <v>288</v>
      </c>
      <c r="B101" s="1" t="s">
        <v>289</v>
      </c>
      <c r="C101" s="1" t="str">
        <f>gminy_26[[#This Row],[kod gminy]]</f>
        <v>2602092</v>
      </c>
      <c r="D101" s="1" t="s">
        <v>63</v>
      </c>
      <c r="E101" s="1" t="str">
        <f>VLOOKUP(gminy_26[[#This Row],[kod powiatu]],powiaty_26[],katalogi!$B$1,FALSE)</f>
        <v>jędrzejowski</v>
      </c>
      <c r="F101" s="1" t="s">
        <v>60</v>
      </c>
      <c r="G101" s="1" t="str">
        <f>VLOOKUP(gminy_26[[#This Row],[kod strefy]],strefy_26[],2,FALSE)</f>
        <v>strefa świętokrzyska</v>
      </c>
      <c r="H101" s="35">
        <v>75050</v>
      </c>
      <c r="I101" s="35">
        <v>0</v>
      </c>
      <c r="J101" s="35">
        <v>3130</v>
      </c>
      <c r="K101" s="35">
        <v>5870</v>
      </c>
      <c r="L101" s="35">
        <v>6650</v>
      </c>
      <c r="M101" s="35">
        <v>18600</v>
      </c>
      <c r="N101" s="35">
        <v>18600</v>
      </c>
      <c r="O101" s="38">
        <v>22200</v>
      </c>
      <c r="P101" s="38">
        <v>1</v>
      </c>
      <c r="Q101" s="38">
        <v>20</v>
      </c>
    </row>
    <row r="102" spans="1:17" hidden="1" x14ac:dyDescent="0.2">
      <c r="A102" s="1" t="s">
        <v>290</v>
      </c>
      <c r="B102" s="1" t="s">
        <v>291</v>
      </c>
      <c r="C102" s="1" t="str">
        <f>gminy_26[[#This Row],[kod gminy]]</f>
        <v>2606082</v>
      </c>
      <c r="D102" s="1" t="s">
        <v>67</v>
      </c>
      <c r="E102" s="1" t="str">
        <f>VLOOKUP(gminy_26[[#This Row],[kod powiatu]],powiaty_26[],katalogi!$B$1,FALSE)</f>
        <v>opatowski</v>
      </c>
      <c r="F102" s="1" t="s">
        <v>60</v>
      </c>
      <c r="G102" s="1" t="str">
        <f>VLOOKUP(gminy_26[[#This Row],[kod strefy]],strefy_26[],2,FALSE)</f>
        <v>strefa świętokrzyska</v>
      </c>
      <c r="H102" s="35">
        <v>25670</v>
      </c>
      <c r="I102" s="35">
        <v>0</v>
      </c>
      <c r="J102" s="35">
        <v>210</v>
      </c>
      <c r="K102" s="35">
        <v>390</v>
      </c>
      <c r="L102" s="35">
        <v>440</v>
      </c>
      <c r="M102" s="35">
        <v>7440</v>
      </c>
      <c r="N102" s="35">
        <v>7440</v>
      </c>
      <c r="O102" s="38">
        <v>9750</v>
      </c>
      <c r="P102" s="38">
        <v>1</v>
      </c>
      <c r="Q102" s="38">
        <v>5</v>
      </c>
    </row>
    <row r="103" spans="1:17" x14ac:dyDescent="0.2">
      <c r="A103" s="1" t="s">
        <v>292</v>
      </c>
      <c r="B103" s="1" t="s">
        <v>293</v>
      </c>
      <c r="C103" s="1" t="str">
        <f>gminy_26[[#This Row],[kod gminy]]</f>
        <v>2604192</v>
      </c>
      <c r="D103" s="1" t="s">
        <v>65</v>
      </c>
      <c r="E103" s="1" t="str">
        <f>VLOOKUP(gminy_26[[#This Row],[kod powiatu]],powiaty_26[],katalogi!$B$1,FALSE)</f>
        <v>kielecki</v>
      </c>
      <c r="F103" s="1" t="s">
        <v>60</v>
      </c>
      <c r="G103" s="1" t="str">
        <f>VLOOKUP(gminy_26[[#This Row],[kod strefy]],strefy_26[],2,FALSE)</f>
        <v>strefa świętokrzyska</v>
      </c>
      <c r="H103" s="35">
        <v>106330</v>
      </c>
      <c r="I103" s="35">
        <v>0</v>
      </c>
      <c r="J103" s="35">
        <v>4220</v>
      </c>
      <c r="K103" s="35">
        <v>7920</v>
      </c>
      <c r="L103" s="35">
        <v>8970</v>
      </c>
      <c r="M103" s="35">
        <v>26620</v>
      </c>
      <c r="N103" s="35">
        <v>26620</v>
      </c>
      <c r="O103" s="38">
        <v>31980</v>
      </c>
      <c r="P103" s="38">
        <v>1</v>
      </c>
      <c r="Q103" s="38">
        <v>5</v>
      </c>
    </row>
    <row r="104" spans="1:17" hidden="1" x14ac:dyDescent="0.2">
      <c r="A104" s="1" t="s">
        <v>294</v>
      </c>
      <c r="B104" s="1" t="s">
        <v>295</v>
      </c>
      <c r="C104" s="1" t="str">
        <f>gminy_26[[#This Row],[kod gminy]]</f>
        <v>2609093</v>
      </c>
      <c r="D104" s="1" t="s">
        <v>70</v>
      </c>
      <c r="E104" s="1" t="str">
        <f>VLOOKUP(gminy_26[[#This Row],[kod powiatu]],powiaty_26[],katalogi!$B$1,FALSE)</f>
        <v>sandomierski</v>
      </c>
      <c r="F104" s="1" t="s">
        <v>60</v>
      </c>
      <c r="G104" s="1" t="str">
        <f>VLOOKUP(gminy_26[[#This Row],[kod strefy]],strefy_26[],2,FALSE)</f>
        <v>strefa świętokrzyska</v>
      </c>
      <c r="H104" s="35">
        <v>24790</v>
      </c>
      <c r="I104" s="35">
        <v>0</v>
      </c>
      <c r="J104" s="35">
        <v>850</v>
      </c>
      <c r="K104" s="35">
        <v>1580</v>
      </c>
      <c r="L104" s="35">
        <v>1790</v>
      </c>
      <c r="M104" s="35">
        <v>6380</v>
      </c>
      <c r="N104" s="35">
        <v>6380</v>
      </c>
      <c r="O104" s="38">
        <v>7810</v>
      </c>
      <c r="P104" s="38">
        <v>1</v>
      </c>
      <c r="Q104" s="38">
        <v>20</v>
      </c>
    </row>
    <row r="105" spans="1:17" hidden="1" x14ac:dyDescent="0.2">
      <c r="A105" s="1" t="s">
        <v>296</v>
      </c>
      <c r="B105" s="1" t="s">
        <v>297</v>
      </c>
      <c r="C105" s="1" t="str">
        <f>gminy_26[[#This Row],[kod gminy]]</f>
        <v>2608052</v>
      </c>
      <c r="D105" s="1" t="s">
        <v>69</v>
      </c>
      <c r="E105" s="1" t="str">
        <f>VLOOKUP(gminy_26[[#This Row],[kod powiatu]],powiaty_26[],katalogi!$B$1,FALSE)</f>
        <v>pińczowski</v>
      </c>
      <c r="F105" s="1" t="s">
        <v>60</v>
      </c>
      <c r="G105" s="1" t="str">
        <f>VLOOKUP(gminy_26[[#This Row],[kod strefy]],strefy_26[],2,FALSE)</f>
        <v>strefa świętokrzyska</v>
      </c>
      <c r="H105" s="35">
        <v>46890</v>
      </c>
      <c r="I105" s="35">
        <v>0</v>
      </c>
      <c r="J105" s="35">
        <v>500</v>
      </c>
      <c r="K105" s="35">
        <v>940</v>
      </c>
      <c r="L105" s="35">
        <v>1060</v>
      </c>
      <c r="M105" s="35">
        <v>13440</v>
      </c>
      <c r="N105" s="35">
        <v>13440</v>
      </c>
      <c r="O105" s="38">
        <v>17510</v>
      </c>
      <c r="P105" s="38">
        <v>1</v>
      </c>
      <c r="Q105" s="38">
        <v>5</v>
      </c>
    </row>
    <row r="112" spans="1:17" x14ac:dyDescent="0.2">
      <c r="A112" s="1" t="s">
        <v>472</v>
      </c>
      <c r="B112" s="1" t="s">
        <v>299</v>
      </c>
      <c r="C112" s="1" t="s">
        <v>76</v>
      </c>
      <c r="D112" s="1" t="s">
        <v>77</v>
      </c>
      <c r="E112" s="1" t="s">
        <v>78</v>
      </c>
      <c r="F112" s="1" t="s">
        <v>79</v>
      </c>
      <c r="G112" s="1" t="s">
        <v>80</v>
      </c>
      <c r="H112" s="1" t="s">
        <v>81</v>
      </c>
      <c r="I112" s="1" t="s">
        <v>82</v>
      </c>
      <c r="J112" s="1" t="s">
        <v>83</v>
      </c>
      <c r="K112" s="1" t="s">
        <v>84</v>
      </c>
      <c r="L112" s="1" t="s">
        <v>85</v>
      </c>
      <c r="M112" s="1" t="s">
        <v>86</v>
      </c>
      <c r="N112" s="1" t="s">
        <v>87</v>
      </c>
      <c r="O112" s="1" t="s">
        <v>88</v>
      </c>
    </row>
    <row r="113" spans="1:15" x14ac:dyDescent="0.2">
      <c r="A113" s="1" t="s">
        <v>299</v>
      </c>
      <c r="B113" s="1" t="s">
        <v>299</v>
      </c>
      <c r="C113" s="1" t="s">
        <v>118</v>
      </c>
      <c r="D113" s="1" t="s">
        <v>142</v>
      </c>
      <c r="E113" s="1" t="s">
        <v>104</v>
      </c>
      <c r="F113" s="1" t="s">
        <v>106</v>
      </c>
      <c r="G113" s="1" t="s">
        <v>134</v>
      </c>
      <c r="H113" s="1" t="s">
        <v>100</v>
      </c>
      <c r="I113" s="1" t="s">
        <v>102</v>
      </c>
      <c r="J113" s="1" t="s">
        <v>132</v>
      </c>
      <c r="K113" s="1" t="s">
        <v>130</v>
      </c>
      <c r="L113" s="1" t="s">
        <v>108</v>
      </c>
      <c r="M113" s="1" t="s">
        <v>116</v>
      </c>
      <c r="N113" s="1" t="s">
        <v>114</v>
      </c>
      <c r="O113" s="1" t="s">
        <v>154</v>
      </c>
    </row>
    <row r="114" spans="1:15" x14ac:dyDescent="0.2">
      <c r="A114" s="1" t="s">
        <v>76</v>
      </c>
      <c r="C114" s="1" t="s">
        <v>136</v>
      </c>
      <c r="D114" s="1" t="s">
        <v>146</v>
      </c>
      <c r="E114" s="1" t="s">
        <v>124</v>
      </c>
      <c r="F114" s="1" t="s">
        <v>112</v>
      </c>
      <c r="G114" s="1" t="s">
        <v>138</v>
      </c>
      <c r="H114" s="1" t="s">
        <v>144</v>
      </c>
      <c r="I114" s="1" t="s">
        <v>110</v>
      </c>
      <c r="J114" s="1" t="s">
        <v>150</v>
      </c>
      <c r="K114" s="1" t="s">
        <v>152</v>
      </c>
      <c r="L114" s="1" t="s">
        <v>168</v>
      </c>
      <c r="M114" s="1" t="s">
        <v>184</v>
      </c>
      <c r="N114" s="1" t="s">
        <v>174</v>
      </c>
      <c r="O114" s="1" t="s">
        <v>160</v>
      </c>
    </row>
    <row r="115" spans="1:15" x14ac:dyDescent="0.2">
      <c r="A115" s="1" t="s">
        <v>77</v>
      </c>
      <c r="C115" s="1" t="s">
        <v>196</v>
      </c>
      <c r="D115" s="1" t="s">
        <v>176</v>
      </c>
      <c r="E115" s="1" t="s">
        <v>148</v>
      </c>
      <c r="F115" s="1" t="s">
        <v>120</v>
      </c>
      <c r="G115" s="1" t="s">
        <v>156</v>
      </c>
      <c r="H115" s="1" t="s">
        <v>164</v>
      </c>
      <c r="I115" s="1" t="s">
        <v>126</v>
      </c>
      <c r="J115" s="1" t="s">
        <v>180</v>
      </c>
      <c r="K115" s="1" t="s">
        <v>158</v>
      </c>
      <c r="L115" s="1" t="s">
        <v>248</v>
      </c>
      <c r="M115" s="1" t="s">
        <v>215</v>
      </c>
      <c r="N115" s="1" t="s">
        <v>202</v>
      </c>
      <c r="O115" s="1" t="s">
        <v>190</v>
      </c>
    </row>
    <row r="116" spans="1:15" x14ac:dyDescent="0.2">
      <c r="A116" s="1" t="s">
        <v>78</v>
      </c>
      <c r="C116" s="1" t="s">
        <v>213</v>
      </c>
      <c r="D116" s="1" t="s">
        <v>192</v>
      </c>
      <c r="E116" s="1" t="s">
        <v>204</v>
      </c>
      <c r="F116" s="1" t="s">
        <v>122</v>
      </c>
      <c r="G116" s="1" t="s">
        <v>227</v>
      </c>
      <c r="H116" s="1" t="s">
        <v>14</v>
      </c>
      <c r="I116" s="1" t="s">
        <v>162</v>
      </c>
      <c r="J116" s="1" t="s">
        <v>221</v>
      </c>
      <c r="K116" s="1" t="s">
        <v>170</v>
      </c>
      <c r="L116" s="1" t="s">
        <v>250</v>
      </c>
      <c r="M116" s="1" t="s">
        <v>261</v>
      </c>
      <c r="N116" s="1" t="s">
        <v>207</v>
      </c>
      <c r="O116" s="1" t="s">
        <v>225</v>
      </c>
    </row>
    <row r="117" spans="1:15" x14ac:dyDescent="0.2">
      <c r="A117" s="1" t="s">
        <v>79</v>
      </c>
      <c r="C117" s="1" t="s">
        <v>259</v>
      </c>
      <c r="D117" s="1" t="s">
        <v>200</v>
      </c>
      <c r="E117" s="1" t="s">
        <v>246</v>
      </c>
      <c r="F117" s="1" t="s">
        <v>128</v>
      </c>
      <c r="G117" s="1" t="s">
        <v>231</v>
      </c>
      <c r="H117" s="1" t="s">
        <v>211</v>
      </c>
      <c r="I117" s="1" t="s">
        <v>209</v>
      </c>
      <c r="J117" s="1" t="s">
        <v>297</v>
      </c>
      <c r="K117" s="1" t="s">
        <v>198</v>
      </c>
      <c r="L117" s="1" t="s">
        <v>271</v>
      </c>
      <c r="M117" s="1" t="s">
        <v>281</v>
      </c>
      <c r="N117" s="1" t="s">
        <v>223</v>
      </c>
      <c r="O117" s="1" t="s">
        <v>241</v>
      </c>
    </row>
    <row r="118" spans="1:15" x14ac:dyDescent="0.2">
      <c r="A118" s="1" t="s">
        <v>80</v>
      </c>
      <c r="C118" s="1" t="s">
        <v>267</v>
      </c>
      <c r="D118" s="1" t="s">
        <v>243</v>
      </c>
      <c r="F118" s="1" t="s">
        <v>140</v>
      </c>
      <c r="G118" s="1" t="s">
        <v>504</v>
      </c>
      <c r="H118" s="1" t="s">
        <v>235</v>
      </c>
      <c r="I118" s="1" t="s">
        <v>279</v>
      </c>
      <c r="K118" s="1" t="s">
        <v>237</v>
      </c>
      <c r="N118" s="1" t="s">
        <v>233</v>
      </c>
      <c r="O118" s="1" t="s">
        <v>287</v>
      </c>
    </row>
    <row r="119" spans="1:15" x14ac:dyDescent="0.2">
      <c r="A119" s="1" t="s">
        <v>81</v>
      </c>
      <c r="C119" s="1" t="s">
        <v>277</v>
      </c>
      <c r="D119" s="1" t="s">
        <v>252</v>
      </c>
      <c r="F119" s="1" t="s">
        <v>166</v>
      </c>
      <c r="G119" s="1" t="s">
        <v>255</v>
      </c>
      <c r="H119" s="1" t="s">
        <v>275</v>
      </c>
      <c r="K119" s="1" t="s">
        <v>239</v>
      </c>
      <c r="N119" s="1" t="s">
        <v>263</v>
      </c>
    </row>
    <row r="120" spans="1:15" x14ac:dyDescent="0.2">
      <c r="A120" s="1" t="s">
        <v>82</v>
      </c>
      <c r="C120" s="1" t="s">
        <v>285</v>
      </c>
      <c r="D120" s="1" t="s">
        <v>257</v>
      </c>
      <c r="F120" s="1" t="s">
        <v>172</v>
      </c>
      <c r="G120" s="1" t="s">
        <v>265</v>
      </c>
      <c r="H120" s="1" t="s">
        <v>291</v>
      </c>
      <c r="K120" s="1" t="s">
        <v>283</v>
      </c>
      <c r="N120" s="1" t="s">
        <v>273</v>
      </c>
    </row>
    <row r="121" spans="1:15" x14ac:dyDescent="0.2">
      <c r="A121" s="1" t="s">
        <v>83</v>
      </c>
      <c r="D121" s="1" t="s">
        <v>289</v>
      </c>
      <c r="F121" s="1" t="s">
        <v>178</v>
      </c>
      <c r="K121" s="1" t="s">
        <v>295</v>
      </c>
    </row>
    <row r="122" spans="1:15" x14ac:dyDescent="0.2">
      <c r="A122" s="1" t="s">
        <v>84</v>
      </c>
      <c r="F122" s="1" t="s">
        <v>182</v>
      </c>
    </row>
    <row r="123" spans="1:15" x14ac:dyDescent="0.2">
      <c r="A123" s="1" t="s">
        <v>85</v>
      </c>
      <c r="F123" s="1" t="s">
        <v>186</v>
      </c>
    </row>
    <row r="124" spans="1:15" x14ac:dyDescent="0.2">
      <c r="A124" s="1" t="s">
        <v>86</v>
      </c>
      <c r="F124" s="1" t="s">
        <v>188</v>
      </c>
    </row>
    <row r="125" spans="1:15" x14ac:dyDescent="0.2">
      <c r="A125" s="1" t="s">
        <v>87</v>
      </c>
      <c r="F125" s="1" t="s">
        <v>194</v>
      </c>
    </row>
    <row r="126" spans="1:15" x14ac:dyDescent="0.2">
      <c r="A126" s="1" t="s">
        <v>88</v>
      </c>
      <c r="F126" s="1" t="s">
        <v>217</v>
      </c>
    </row>
    <row r="127" spans="1:15" x14ac:dyDescent="0.2">
      <c r="F127" s="1" t="s">
        <v>219</v>
      </c>
    </row>
    <row r="128" spans="1:15" x14ac:dyDescent="0.2">
      <c r="F128" s="1" t="s">
        <v>229</v>
      </c>
    </row>
    <row r="129" spans="1:6" x14ac:dyDescent="0.2">
      <c r="F129" s="1" t="s">
        <v>503</v>
      </c>
    </row>
    <row r="130" spans="1:6" x14ac:dyDescent="0.2">
      <c r="F130" s="1" t="s">
        <v>269</v>
      </c>
    </row>
    <row r="131" spans="1:6" x14ac:dyDescent="0.2">
      <c r="F131" s="1" t="s">
        <v>293</v>
      </c>
    </row>
    <row r="136" spans="1:6" ht="12.75" x14ac:dyDescent="0.2">
      <c r="A136" t="s">
        <v>112</v>
      </c>
    </row>
    <row r="137" spans="1:6" ht="12.75" x14ac:dyDescent="0.2">
      <c r="A137" t="s">
        <v>118</v>
      </c>
    </row>
    <row r="138" spans="1:6" ht="12.75" x14ac:dyDescent="0.2">
      <c r="A138" t="s">
        <v>120</v>
      </c>
    </row>
    <row r="139" spans="1:6" ht="12.75" x14ac:dyDescent="0.2">
      <c r="A139" t="s">
        <v>122</v>
      </c>
    </row>
    <row r="140" spans="1:6" ht="12.75" x14ac:dyDescent="0.2">
      <c r="A140" t="s">
        <v>126</v>
      </c>
    </row>
    <row r="141" spans="1:6" ht="12.75" x14ac:dyDescent="0.2">
      <c r="A141" t="s">
        <v>128</v>
      </c>
    </row>
    <row r="142" spans="1:6" ht="12.75" x14ac:dyDescent="0.2">
      <c r="A142" t="s">
        <v>132</v>
      </c>
    </row>
    <row r="143" spans="1:6" ht="12.75" x14ac:dyDescent="0.2">
      <c r="A143" t="s">
        <v>146</v>
      </c>
    </row>
    <row r="144" spans="1:6" ht="12.75" x14ac:dyDescent="0.2">
      <c r="A144" t="s">
        <v>148</v>
      </c>
    </row>
    <row r="145" spans="1:1" ht="12.75" x14ac:dyDescent="0.2">
      <c r="A145" t="s">
        <v>299</v>
      </c>
    </row>
    <row r="146" spans="1:1" ht="12.75" x14ac:dyDescent="0.2">
      <c r="A146" t="s">
        <v>152</v>
      </c>
    </row>
    <row r="147" spans="1:1" ht="12.75" x14ac:dyDescent="0.2">
      <c r="A147" t="s">
        <v>156</v>
      </c>
    </row>
    <row r="148" spans="1:1" ht="12.75" x14ac:dyDescent="0.2">
      <c r="A148" t="s">
        <v>158</v>
      </c>
    </row>
    <row r="149" spans="1:1" ht="12.75" x14ac:dyDescent="0.2">
      <c r="A149" t="s">
        <v>162</v>
      </c>
    </row>
    <row r="150" spans="1:1" ht="12.75" x14ac:dyDescent="0.2">
      <c r="A150" t="s">
        <v>166</v>
      </c>
    </row>
    <row r="151" spans="1:1" ht="12.75" x14ac:dyDescent="0.2">
      <c r="A151" t="s">
        <v>176</v>
      </c>
    </row>
    <row r="152" spans="1:1" ht="12.75" x14ac:dyDescent="0.2">
      <c r="A152" t="s">
        <v>188</v>
      </c>
    </row>
    <row r="153" spans="1:1" ht="12.75" x14ac:dyDescent="0.2">
      <c r="A153" t="s">
        <v>194</v>
      </c>
    </row>
    <row r="154" spans="1:1" ht="12.75" x14ac:dyDescent="0.2">
      <c r="A154" t="s">
        <v>196</v>
      </c>
    </row>
    <row r="155" spans="1:1" ht="12.75" x14ac:dyDescent="0.2">
      <c r="A155" t="s">
        <v>202</v>
      </c>
    </row>
    <row r="156" spans="1:1" ht="12.75" x14ac:dyDescent="0.2">
      <c r="A156" t="s">
        <v>204</v>
      </c>
    </row>
    <row r="157" spans="1:1" ht="12.75" x14ac:dyDescent="0.2">
      <c r="A157" t="s">
        <v>14</v>
      </c>
    </row>
    <row r="158" spans="1:1" ht="12.75" x14ac:dyDescent="0.2">
      <c r="A158" t="s">
        <v>207</v>
      </c>
    </row>
    <row r="159" spans="1:1" ht="12.75" x14ac:dyDescent="0.2">
      <c r="A159" t="s">
        <v>209</v>
      </c>
    </row>
    <row r="160" spans="1:1" ht="12.75" x14ac:dyDescent="0.2">
      <c r="A160" t="s">
        <v>211</v>
      </c>
    </row>
    <row r="161" spans="1:1" ht="12.75" x14ac:dyDescent="0.2">
      <c r="A161" t="s">
        <v>213</v>
      </c>
    </row>
    <row r="162" spans="1:1" ht="12.75" x14ac:dyDescent="0.2">
      <c r="A162" t="s">
        <v>219</v>
      </c>
    </row>
    <row r="163" spans="1:1" ht="12.75" x14ac:dyDescent="0.2">
      <c r="A163" t="s">
        <v>221</v>
      </c>
    </row>
    <row r="164" spans="1:1" ht="12.75" x14ac:dyDescent="0.2">
      <c r="A164" t="s">
        <v>223</v>
      </c>
    </row>
    <row r="165" spans="1:1" ht="12.75" x14ac:dyDescent="0.2">
      <c r="A165" t="s">
        <v>227</v>
      </c>
    </row>
    <row r="166" spans="1:1" ht="12.75" x14ac:dyDescent="0.2">
      <c r="A166" t="s">
        <v>239</v>
      </c>
    </row>
    <row r="167" spans="1:1" ht="12.75" x14ac:dyDescent="0.2">
      <c r="A167" t="s">
        <v>243</v>
      </c>
    </row>
    <row r="168" spans="1:1" ht="12.75" x14ac:dyDescent="0.2">
      <c r="A168" t="s">
        <v>246</v>
      </c>
    </row>
    <row r="169" spans="1:1" ht="12.75" x14ac:dyDescent="0.2">
      <c r="A169" t="s">
        <v>250</v>
      </c>
    </row>
    <row r="170" spans="1:1" ht="12.75" x14ac:dyDescent="0.2">
      <c r="A170" t="s">
        <v>261</v>
      </c>
    </row>
    <row r="171" spans="1:1" ht="12.75" x14ac:dyDescent="0.2">
      <c r="A171" t="s">
        <v>263</v>
      </c>
    </row>
    <row r="172" spans="1:1" ht="12.75" x14ac:dyDescent="0.2">
      <c r="A172" t="s">
        <v>265</v>
      </c>
    </row>
    <row r="173" spans="1:1" ht="12.75" x14ac:dyDescent="0.2">
      <c r="A173" t="s">
        <v>267</v>
      </c>
    </row>
    <row r="174" spans="1:1" ht="12.75" x14ac:dyDescent="0.2">
      <c r="A174" t="s">
        <v>271</v>
      </c>
    </row>
    <row r="175" spans="1:1" ht="12.75" x14ac:dyDescent="0.2">
      <c r="A175" t="s">
        <v>273</v>
      </c>
    </row>
    <row r="176" spans="1:1" ht="12.75" x14ac:dyDescent="0.2">
      <c r="A176" t="s">
        <v>281</v>
      </c>
    </row>
    <row r="177" spans="1:1" ht="12.75" x14ac:dyDescent="0.2">
      <c r="A177" t="s">
        <v>285</v>
      </c>
    </row>
    <row r="178" spans="1:1" ht="12.75" x14ac:dyDescent="0.2">
      <c r="A178" t="s">
        <v>287</v>
      </c>
    </row>
    <row r="179" spans="1:1" ht="12.75" x14ac:dyDescent="0.2">
      <c r="A179" t="s">
        <v>289</v>
      </c>
    </row>
    <row r="180" spans="1:1" ht="12.75" x14ac:dyDescent="0.2">
      <c r="A180" t="s">
        <v>295</v>
      </c>
    </row>
  </sheetData>
  <mergeCells count="1">
    <mergeCell ref="H2:O2"/>
  </mergeCells>
  <phoneticPr fontId="22" type="noConversion"/>
  <conditionalFormatting sqref="O4:O52 H53:Q105">
    <cfRule type="cellIs" dxfId="13" priority="2" operator="equal">
      <formula>0</formula>
    </cfRule>
  </conditionalFormatting>
  <conditionalFormatting sqref="P5:P52">
    <cfRule type="cellIs" dxfId="12" priority="1" operator="equal">
      <formula>0</formula>
    </cfRule>
  </conditionalFormatting>
  <conditionalFormatting sqref="P4:Q4 H4:N52">
    <cfRule type="cellIs" dxfId="11" priority="4" operator="equal">
      <formula>0</formula>
    </cfRule>
  </conditionalFormatting>
  <conditionalFormatting sqref="Q5:Q52">
    <cfRule type="cellIs" dxfId="10" priority="5" operator="equal">
      <formula>0</formula>
    </cfRule>
  </conditionalFormatting>
  <dataValidations count="1">
    <dataValidation type="list" allowBlank="1" showInputMessage="1" showErrorMessage="1" sqref="E1:E78 E79:E1048576" xr:uid="{00000000-0002-0000-0100-000000000000}">
      <formula1>Powiaty</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rgb="FF006600"/>
  </sheetPr>
  <dimension ref="A1:E34"/>
  <sheetViews>
    <sheetView workbookViewId="0">
      <selection activeCell="G9" sqref="G9"/>
    </sheetView>
  </sheetViews>
  <sheetFormatPr defaultColWidth="9.140625" defaultRowHeight="12" x14ac:dyDescent="0.2"/>
  <cols>
    <col min="1" max="1" width="29.85546875" style="1" customWidth="1"/>
    <col min="2" max="2" width="50.28515625" style="1" customWidth="1"/>
    <col min="3" max="5" width="19.28515625" style="1" customWidth="1"/>
    <col min="6" max="16384" width="9.140625" style="1"/>
  </cols>
  <sheetData>
    <row r="1" spans="1:5" x14ac:dyDescent="0.2">
      <c r="A1" s="7">
        <v>1</v>
      </c>
      <c r="B1" s="7">
        <f>A1+1</f>
        <v>2</v>
      </c>
      <c r="C1" s="7">
        <f t="shared" ref="C1:E1" si="0">B1+1</f>
        <v>3</v>
      </c>
      <c r="D1" s="7">
        <f t="shared" si="0"/>
        <v>4</v>
      </c>
      <c r="E1" s="7">
        <f t="shared" si="0"/>
        <v>5</v>
      </c>
    </row>
    <row r="2" spans="1:5" ht="12" customHeight="1" x14ac:dyDescent="0.2">
      <c r="A2" s="203" t="s">
        <v>45</v>
      </c>
      <c r="B2" s="203" t="s">
        <v>33</v>
      </c>
      <c r="C2" s="202" t="s">
        <v>44</v>
      </c>
      <c r="D2" s="202"/>
      <c r="E2" s="202"/>
    </row>
    <row r="3" spans="1:5" ht="14.25" x14ac:dyDescent="0.2">
      <c r="A3" s="204"/>
      <c r="B3" s="204"/>
      <c r="C3" s="8" t="s">
        <v>349</v>
      </c>
      <c r="D3" s="8" t="s">
        <v>350</v>
      </c>
      <c r="E3" s="8" t="s">
        <v>403</v>
      </c>
    </row>
    <row r="4" spans="1:5" x14ac:dyDescent="0.2">
      <c r="A4" s="66" t="s">
        <v>401</v>
      </c>
      <c r="B4" s="67" t="s">
        <v>404</v>
      </c>
      <c r="C4" s="68" t="s">
        <v>31</v>
      </c>
      <c r="D4" s="68" t="s">
        <v>32</v>
      </c>
      <c r="E4" s="69" t="s">
        <v>402</v>
      </c>
    </row>
    <row r="5" spans="1:5" x14ac:dyDescent="0.2">
      <c r="A5" s="63" t="s">
        <v>36</v>
      </c>
      <c r="B5" s="17" t="s">
        <v>37</v>
      </c>
      <c r="C5" s="28">
        <v>502.42899999999997</v>
      </c>
      <c r="D5" s="28">
        <v>494.96699999999998</v>
      </c>
      <c r="E5" s="64">
        <v>0.28604000000000002</v>
      </c>
    </row>
    <row r="6" spans="1:5" x14ac:dyDescent="0.2">
      <c r="A6" s="63" t="s">
        <v>38</v>
      </c>
      <c r="B6" s="17" t="s">
        <v>39</v>
      </c>
      <c r="C6" s="28">
        <v>502.42899999999997</v>
      </c>
      <c r="D6" s="28">
        <v>494.96699999999998</v>
      </c>
      <c r="E6" s="64">
        <v>0.28604000000000002</v>
      </c>
    </row>
    <row r="7" spans="1:5" x14ac:dyDescent="0.2">
      <c r="A7" s="63" t="s">
        <v>339</v>
      </c>
      <c r="B7" s="27" t="s">
        <v>340</v>
      </c>
      <c r="C7" s="29">
        <v>486.13400000000001</v>
      </c>
      <c r="D7" s="29">
        <v>481.93099999999998</v>
      </c>
      <c r="E7" s="65">
        <v>0.27381</v>
      </c>
    </row>
    <row r="8" spans="1:5" x14ac:dyDescent="0.2">
      <c r="A8" s="63" t="s">
        <v>341</v>
      </c>
      <c r="B8" s="27" t="s">
        <v>342</v>
      </c>
      <c r="C8" s="29">
        <v>483.7</v>
      </c>
      <c r="D8" s="29">
        <v>477.22399999999999</v>
      </c>
      <c r="E8" s="65">
        <v>0.27703</v>
      </c>
    </row>
    <row r="9" spans="1:5" x14ac:dyDescent="0.2">
      <c r="A9" s="63" t="s">
        <v>40</v>
      </c>
      <c r="B9" s="17" t="s">
        <v>41</v>
      </c>
      <c r="C9" s="28">
        <v>502.084</v>
      </c>
      <c r="D9" s="28">
        <v>494.62200000000001</v>
      </c>
      <c r="E9" s="64">
        <v>0.28604000000000002</v>
      </c>
    </row>
    <row r="10" spans="1:5" x14ac:dyDescent="0.2">
      <c r="A10" s="63" t="s">
        <v>42</v>
      </c>
      <c r="B10" s="27" t="s">
        <v>50</v>
      </c>
      <c r="C10" s="28">
        <v>500.98500000000001</v>
      </c>
      <c r="D10" s="28">
        <v>493.52300000000002</v>
      </c>
      <c r="E10" s="64">
        <v>0.28598000000000001</v>
      </c>
    </row>
    <row r="11" spans="1:5" x14ac:dyDescent="0.2">
      <c r="A11" s="63" t="s">
        <v>46</v>
      </c>
      <c r="B11" s="27" t="s">
        <v>52</v>
      </c>
      <c r="C11" s="28">
        <v>502.42899999999997</v>
      </c>
      <c r="D11" s="28">
        <v>494.96699999999998</v>
      </c>
      <c r="E11" s="64">
        <v>0.28604000000000002</v>
      </c>
    </row>
    <row r="12" spans="1:5" x14ac:dyDescent="0.2">
      <c r="A12" s="63" t="s">
        <v>51</v>
      </c>
      <c r="B12" s="27" t="s">
        <v>43</v>
      </c>
      <c r="C12" s="28">
        <v>73.534000000000006</v>
      </c>
      <c r="D12" s="28">
        <v>72.441999999999993</v>
      </c>
      <c r="E12" s="64">
        <v>4.1860000000000001E-2</v>
      </c>
    </row>
    <row r="13" spans="1:5" x14ac:dyDescent="0.2">
      <c r="A13" s="63" t="s">
        <v>343</v>
      </c>
      <c r="B13" s="27" t="s">
        <v>344</v>
      </c>
      <c r="C13" s="28">
        <v>491.02199999999999</v>
      </c>
      <c r="D13" s="28">
        <v>485.84199999999998</v>
      </c>
      <c r="E13" s="64">
        <v>0.27748</v>
      </c>
    </row>
    <row r="14" spans="1:5" x14ac:dyDescent="0.2">
      <c r="A14" s="63" t="s">
        <v>345</v>
      </c>
      <c r="B14" s="27" t="s">
        <v>346</v>
      </c>
      <c r="C14" s="28">
        <v>489.31799999999998</v>
      </c>
      <c r="D14" s="28">
        <v>482.54700000000003</v>
      </c>
      <c r="E14" s="64">
        <v>0.27972999999999998</v>
      </c>
    </row>
    <row r="15" spans="1:5" x14ac:dyDescent="0.2">
      <c r="A15" s="63" t="s">
        <v>53</v>
      </c>
      <c r="B15" s="27" t="s">
        <v>347</v>
      </c>
      <c r="C15" s="28">
        <v>502.18700000000001</v>
      </c>
      <c r="D15" s="28">
        <v>494.72500000000002</v>
      </c>
      <c r="E15" s="64">
        <v>0.28604000000000002</v>
      </c>
    </row>
    <row r="16" spans="1:5" x14ac:dyDescent="0.2">
      <c r="A16" s="70" t="s">
        <v>54</v>
      </c>
      <c r="B16" s="71" t="s">
        <v>348</v>
      </c>
      <c r="C16" s="72">
        <v>501.41800000000001</v>
      </c>
      <c r="D16" s="72">
        <v>493.95600000000002</v>
      </c>
      <c r="E16" s="73">
        <v>0.28599000000000002</v>
      </c>
    </row>
    <row r="18" spans="1:5" x14ac:dyDescent="0.2">
      <c r="C18" s="24"/>
      <c r="D18" s="24"/>
      <c r="E18" s="26"/>
    </row>
    <row r="19" spans="1:5" ht="36" x14ac:dyDescent="0.2">
      <c r="B19" s="61" t="s">
        <v>380</v>
      </c>
      <c r="C19" s="24"/>
      <c r="D19" s="24"/>
      <c r="E19" s="26"/>
    </row>
    <row r="20" spans="1:5" x14ac:dyDescent="0.2">
      <c r="A20" s="60" t="s">
        <v>363</v>
      </c>
      <c r="B20" s="60" t="s">
        <v>379</v>
      </c>
      <c r="C20" s="60" t="s">
        <v>364</v>
      </c>
      <c r="D20" s="24"/>
      <c r="E20" s="26"/>
    </row>
    <row r="21" spans="1:5" x14ac:dyDescent="0.2">
      <c r="A21" s="3" t="s">
        <v>365</v>
      </c>
      <c r="B21" s="3" t="s">
        <v>381</v>
      </c>
      <c r="C21" s="18" t="s">
        <v>36</v>
      </c>
      <c r="D21" s="24"/>
      <c r="E21" s="26"/>
    </row>
    <row r="22" spans="1:5" x14ac:dyDescent="0.2">
      <c r="A22" s="3" t="s">
        <v>366</v>
      </c>
      <c r="B22" s="3" t="s">
        <v>382</v>
      </c>
      <c r="C22" s="18" t="s">
        <v>40</v>
      </c>
      <c r="D22" s="24"/>
      <c r="E22" s="26"/>
    </row>
    <row r="23" spans="1:5" x14ac:dyDescent="0.2">
      <c r="A23" s="3" t="s">
        <v>367</v>
      </c>
      <c r="B23" s="3" t="s">
        <v>383</v>
      </c>
      <c r="C23" s="18" t="s">
        <v>46</v>
      </c>
      <c r="D23" s="24"/>
      <c r="E23" s="26"/>
    </row>
    <row r="24" spans="1:5" x14ac:dyDescent="0.2">
      <c r="A24" s="3" t="s">
        <v>368</v>
      </c>
      <c r="B24" s="3" t="s">
        <v>384</v>
      </c>
      <c r="C24" s="18" t="s">
        <v>339</v>
      </c>
      <c r="D24" s="24"/>
      <c r="E24" s="26"/>
    </row>
    <row r="25" spans="1:5" x14ac:dyDescent="0.2">
      <c r="A25" s="3" t="s">
        <v>369</v>
      </c>
      <c r="B25" s="3" t="s">
        <v>385</v>
      </c>
      <c r="C25" s="18" t="s">
        <v>341</v>
      </c>
      <c r="D25" s="24"/>
      <c r="E25" s="26"/>
    </row>
    <row r="26" spans="1:5" x14ac:dyDescent="0.2">
      <c r="A26" s="3" t="s">
        <v>370</v>
      </c>
      <c r="B26" s="3" t="s">
        <v>386</v>
      </c>
      <c r="C26" s="18" t="s">
        <v>38</v>
      </c>
      <c r="D26" s="24"/>
      <c r="E26" s="26"/>
    </row>
    <row r="27" spans="1:5" x14ac:dyDescent="0.2">
      <c r="A27" s="3" t="s">
        <v>371</v>
      </c>
      <c r="B27" s="3" t="s">
        <v>387</v>
      </c>
      <c r="C27" s="18" t="s">
        <v>42</v>
      </c>
      <c r="D27" s="24"/>
      <c r="E27" s="26"/>
    </row>
    <row r="28" spans="1:5" x14ac:dyDescent="0.2">
      <c r="A28" s="3" t="s">
        <v>372</v>
      </c>
      <c r="B28" s="3" t="s">
        <v>388</v>
      </c>
      <c r="C28" s="18" t="s">
        <v>36</v>
      </c>
      <c r="D28" s="24"/>
      <c r="E28" s="26"/>
    </row>
    <row r="29" spans="1:5" x14ac:dyDescent="0.2">
      <c r="A29" s="3" t="s">
        <v>373</v>
      </c>
      <c r="B29" s="3" t="s">
        <v>389</v>
      </c>
      <c r="C29" s="18" t="s">
        <v>53</v>
      </c>
      <c r="D29" s="24"/>
      <c r="E29" s="26"/>
    </row>
    <row r="30" spans="1:5" x14ac:dyDescent="0.2">
      <c r="A30" s="3" t="s">
        <v>374</v>
      </c>
      <c r="B30" s="3" t="s">
        <v>390</v>
      </c>
      <c r="C30" s="18" t="s">
        <v>46</v>
      </c>
    </row>
    <row r="31" spans="1:5" x14ac:dyDescent="0.2">
      <c r="A31" s="3" t="s">
        <v>375</v>
      </c>
      <c r="B31" s="3" t="s">
        <v>391</v>
      </c>
      <c r="C31" s="18" t="s">
        <v>343</v>
      </c>
    </row>
    <row r="32" spans="1:5" x14ac:dyDescent="0.2">
      <c r="A32" s="3" t="s">
        <v>376</v>
      </c>
      <c r="B32" s="3" t="s">
        <v>392</v>
      </c>
      <c r="C32" s="18" t="s">
        <v>345</v>
      </c>
    </row>
    <row r="33" spans="1:3" x14ac:dyDescent="0.2">
      <c r="A33" s="3" t="s">
        <v>377</v>
      </c>
      <c r="B33" s="3" t="s">
        <v>393</v>
      </c>
      <c r="C33" s="18" t="s">
        <v>38</v>
      </c>
    </row>
    <row r="34" spans="1:3" x14ac:dyDescent="0.2">
      <c r="A34" s="3" t="s">
        <v>378</v>
      </c>
      <c r="B34" s="3" t="s">
        <v>394</v>
      </c>
      <c r="C34" s="18" t="s">
        <v>54</v>
      </c>
    </row>
  </sheetData>
  <mergeCells count="3">
    <mergeCell ref="C2:E2"/>
    <mergeCell ref="A2:A3"/>
    <mergeCell ref="B2:B3"/>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B27"/>
  <sheetViews>
    <sheetView workbookViewId="0">
      <selection activeCell="B12" sqref="B12"/>
    </sheetView>
  </sheetViews>
  <sheetFormatPr defaultColWidth="8.85546875" defaultRowHeight="12.75" x14ac:dyDescent="0.2"/>
  <cols>
    <col min="1" max="1" width="33.5703125" style="103" customWidth="1"/>
    <col min="2" max="2" width="87.28515625" style="103" customWidth="1"/>
    <col min="3" max="16384" width="8.85546875" style="103"/>
  </cols>
  <sheetData>
    <row r="2" spans="1:2" ht="40.9" customHeight="1" x14ac:dyDescent="0.2">
      <c r="A2" s="205" t="s">
        <v>560</v>
      </c>
      <c r="B2" s="205"/>
    </row>
    <row r="3" spans="1:2" x14ac:dyDescent="0.2">
      <c r="A3" s="123" t="s">
        <v>483</v>
      </c>
      <c r="B3" s="123"/>
    </row>
    <row r="4" spans="1:2" x14ac:dyDescent="0.2">
      <c r="A4" s="109"/>
    </row>
    <row r="5" spans="1:2" ht="15.75" x14ac:dyDescent="0.2">
      <c r="A5" s="110" t="s">
        <v>443</v>
      </c>
    </row>
    <row r="6" spans="1:2" ht="15" x14ac:dyDescent="0.2">
      <c r="A6" s="111" t="s">
        <v>446</v>
      </c>
      <c r="B6" s="102" t="s">
        <v>444</v>
      </c>
    </row>
    <row r="7" spans="1:2" ht="15" x14ac:dyDescent="0.2">
      <c r="A7" s="108" t="s">
        <v>445</v>
      </c>
      <c r="B7" s="102" t="s">
        <v>562</v>
      </c>
    </row>
    <row r="8" spans="1:2" ht="15" x14ac:dyDescent="0.2">
      <c r="A8" s="108" t="s">
        <v>433</v>
      </c>
      <c r="B8" s="102" t="s">
        <v>563</v>
      </c>
    </row>
    <row r="9" spans="1:2" ht="15" hidden="1" x14ac:dyDescent="0.2">
      <c r="A9" s="108" t="s">
        <v>434</v>
      </c>
      <c r="B9" s="102" t="s">
        <v>462</v>
      </c>
    </row>
    <row r="10" spans="1:2" ht="15" x14ac:dyDescent="0.2">
      <c r="A10" s="108" t="s">
        <v>435</v>
      </c>
      <c r="B10" s="102" t="s">
        <v>564</v>
      </c>
    </row>
    <row r="11" spans="1:2" ht="15" x14ac:dyDescent="0.2">
      <c r="A11" s="108" t="s">
        <v>436</v>
      </c>
      <c r="B11" s="102" t="s">
        <v>565</v>
      </c>
    </row>
    <row r="12" spans="1:2" ht="15" x14ac:dyDescent="0.2">
      <c r="A12" s="108" t="s">
        <v>439</v>
      </c>
      <c r="B12" s="102" t="s">
        <v>566</v>
      </c>
    </row>
    <row r="13" spans="1:2" ht="15" hidden="1" x14ac:dyDescent="0.2">
      <c r="A13" s="111" t="s">
        <v>458</v>
      </c>
      <c r="B13" s="102"/>
    </row>
    <row r="14" spans="1:2" ht="15" hidden="1" x14ac:dyDescent="0.2">
      <c r="A14" s="108" t="s">
        <v>448</v>
      </c>
      <c r="B14" s="102" t="s">
        <v>461</v>
      </c>
    </row>
    <row r="15" spans="1:2" ht="15" hidden="1" x14ac:dyDescent="0.2">
      <c r="A15" s="108" t="s">
        <v>450</v>
      </c>
      <c r="B15" s="102" t="s">
        <v>463</v>
      </c>
    </row>
    <row r="16" spans="1:2" ht="15" hidden="1" x14ac:dyDescent="0.2">
      <c r="A16" s="111" t="s">
        <v>456</v>
      </c>
      <c r="B16" s="102"/>
    </row>
    <row r="17" spans="1:2" ht="15" hidden="1" x14ac:dyDescent="0.2">
      <c r="A17" s="108" t="s">
        <v>448</v>
      </c>
      <c r="B17" s="102" t="s">
        <v>459</v>
      </c>
    </row>
    <row r="18" spans="1:2" ht="15" hidden="1" x14ac:dyDescent="0.2">
      <c r="A18" s="108" t="s">
        <v>440</v>
      </c>
      <c r="B18" s="102" t="s">
        <v>442</v>
      </c>
    </row>
    <row r="19" spans="1:2" ht="15" hidden="1" x14ac:dyDescent="0.2">
      <c r="A19" s="111" t="s">
        <v>457</v>
      </c>
      <c r="B19" s="102"/>
    </row>
    <row r="20" spans="1:2" ht="15" hidden="1" x14ac:dyDescent="0.2">
      <c r="A20" s="108" t="s">
        <v>448</v>
      </c>
      <c r="B20" s="102" t="s">
        <v>460</v>
      </c>
    </row>
    <row r="21" spans="1:2" ht="15" hidden="1" x14ac:dyDescent="0.2">
      <c r="A21" s="108" t="s">
        <v>441</v>
      </c>
      <c r="B21" s="102" t="s">
        <v>447</v>
      </c>
    </row>
    <row r="25" spans="1:2" ht="15.75" x14ac:dyDescent="0.2">
      <c r="A25" s="206" t="s">
        <v>474</v>
      </c>
      <c r="B25" s="206"/>
    </row>
    <row r="26" spans="1:2" ht="15.75" customHeight="1" x14ac:dyDescent="0.2">
      <c r="A26" s="207" t="s">
        <v>481</v>
      </c>
      <c r="B26" s="208"/>
    </row>
    <row r="27" spans="1:2" ht="15.75" x14ac:dyDescent="0.2">
      <c r="A27" s="119" t="s">
        <v>482</v>
      </c>
      <c r="B27" s="43"/>
    </row>
  </sheetData>
  <mergeCells count="3">
    <mergeCell ref="A2:B2"/>
    <mergeCell ref="A25:B25"/>
    <mergeCell ref="A26:B26"/>
  </mergeCells>
  <hyperlinks>
    <hyperlink ref="A9" location="tab.1_ZSO_powiaty!A1" tooltip="Tabela ZSO dla powiatów" display="tab.1_ZSO_powiaty" xr:uid="{00000000-0004-0000-0300-000000000000}"/>
    <hyperlink ref="A10" location="tab.2_EE_gminy!A1" tooltip="Tabela EE dla gmin" display="tab.2_EE_gminy" xr:uid="{00000000-0004-0000-0300-000001000000}"/>
    <hyperlink ref="A11" location="tab.3_KPP!A1" tooltip="Tabela kontrole" display="tab.3_KPP" xr:uid="{00000000-0004-0000-0300-000002000000}"/>
    <hyperlink ref="A12" location="tab.5_PDK!A1" tooltip="PDK" display="tab.5_PDK" xr:uid="{00000000-0004-0000-0300-000003000000}"/>
    <hyperlink ref="A8" location="tab.1_ZSO_gminy!A1" tooltip="Tabela ZSO dla gmin" display="tab.1_ZSO_gminy" xr:uid="{00000000-0004-0000-0300-000004000000}"/>
    <hyperlink ref="A21" location="tab.4_BDO!A1" tooltip="Tabela drogi (BDO)" display="tab.4_BDO" xr:uid="{00000000-0004-0000-0300-000005000000}"/>
    <hyperlink ref="A7" location="tabela_informacyjna_dla_JST!A1" tooltip="Informacje ogólne JST" display="tabela_informacyjna_dla_JST" xr:uid="{00000000-0004-0000-0300-000006000000}"/>
    <hyperlink ref="A20" location="tabela_informacyjna_dla_innych!A1" tooltip="Informacje ogólne dla innych podmiotów" display="tabela_informacyjna_dla_innych" xr:uid="{00000000-0004-0000-0300-000007000000}"/>
    <hyperlink ref="A17" location="tabela_informacyjna_dla_innych!A1" tooltip="Informacje ogólne dla innych podmiotów" display="tabela_informacyjna_dla_innych" xr:uid="{00000000-0004-0000-0300-000008000000}"/>
    <hyperlink ref="A18" location="tab.2_EE_org!A1" tooltip="Tabela edukacja - organizacje" display="tab.2_EE_org" xr:uid="{00000000-0004-0000-0300-000009000000}"/>
    <hyperlink ref="A14" location="tabela_informacyjna_dla_innych!A1" tooltip="Informacje ogólne dla innych podmiotów" display="tabela_informacyjna_dla_innych" xr:uid="{00000000-0004-0000-0300-00000A000000}"/>
    <hyperlink ref="A15" location="tab.1_ZSO_zarządcy!A1" display="tab.1_ZSO_zarządcy" xr:uid="{00000000-0004-0000-0300-00000B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I27"/>
  <sheetViews>
    <sheetView zoomScale="120" zoomScaleNormal="120" workbookViewId="0">
      <selection activeCell="B30" sqref="B30"/>
    </sheetView>
  </sheetViews>
  <sheetFormatPr defaultColWidth="9.140625" defaultRowHeight="12" x14ac:dyDescent="0.2"/>
  <cols>
    <col min="1" max="1" width="4" style="1" customWidth="1"/>
    <col min="2" max="2" width="39.7109375" style="1" customWidth="1"/>
    <col min="3" max="3" width="39" style="1" customWidth="1"/>
    <col min="4" max="4" width="6.85546875" style="1" hidden="1" customWidth="1"/>
    <col min="5" max="5" width="39" style="1" hidden="1" customWidth="1"/>
    <col min="6" max="6" width="6" style="1" hidden="1" customWidth="1"/>
    <col min="7" max="7" width="3.85546875" style="1" customWidth="1"/>
    <col min="8" max="8" width="18" style="1" bestFit="1" customWidth="1"/>
    <col min="9" max="9" width="66" style="1" bestFit="1" customWidth="1"/>
    <col min="10" max="16384" width="9.140625" style="1"/>
  </cols>
  <sheetData>
    <row r="1" spans="1:9" ht="16.5" customHeight="1" x14ac:dyDescent="0.2">
      <c r="A1" s="207"/>
      <c r="B1" s="207"/>
      <c r="C1" s="207"/>
      <c r="E1" s="43"/>
    </row>
    <row r="2" spans="1:9" ht="20.45" customHeight="1" x14ac:dyDescent="0.2">
      <c r="B2" s="44" t="s">
        <v>312</v>
      </c>
      <c r="C2" s="130" t="s">
        <v>310</v>
      </c>
      <c r="D2" s="130"/>
      <c r="E2" s="130" t="s">
        <v>451</v>
      </c>
    </row>
    <row r="3" spans="1:9" ht="12" customHeight="1" x14ac:dyDescent="0.2">
      <c r="A3" s="209" t="s">
        <v>500</v>
      </c>
      <c r="B3" s="209"/>
      <c r="C3" s="209"/>
      <c r="D3" s="209"/>
      <c r="E3" s="209"/>
    </row>
    <row r="4" spans="1:9" ht="15" x14ac:dyDescent="0.2">
      <c r="A4" s="42" t="s">
        <v>7</v>
      </c>
      <c r="B4" s="42" t="s">
        <v>10</v>
      </c>
      <c r="C4" s="42" t="s">
        <v>437</v>
      </c>
      <c r="D4" s="46" t="s">
        <v>313</v>
      </c>
      <c r="E4" s="42" t="s">
        <v>438</v>
      </c>
      <c r="F4" s="46" t="s">
        <v>313</v>
      </c>
      <c r="H4" s="107" t="s">
        <v>433</v>
      </c>
      <c r="I4" s="102" t="s">
        <v>563</v>
      </c>
    </row>
    <row r="5" spans="1:9" ht="15" x14ac:dyDescent="0.2">
      <c r="A5" s="10">
        <v>1</v>
      </c>
      <c r="B5" s="11" t="s">
        <v>477</v>
      </c>
      <c r="C5" s="21">
        <v>2023</v>
      </c>
      <c r="D5" s="47"/>
      <c r="E5" s="21"/>
      <c r="F5" s="47"/>
      <c r="H5" s="107" t="s">
        <v>435</v>
      </c>
      <c r="I5" s="102" t="s">
        <v>564</v>
      </c>
    </row>
    <row r="6" spans="1:9" ht="15" x14ac:dyDescent="0.2">
      <c r="A6" s="10">
        <v>2</v>
      </c>
      <c r="B6" s="11" t="s">
        <v>8</v>
      </c>
      <c r="C6" s="9" t="s">
        <v>56</v>
      </c>
      <c r="D6" s="45"/>
      <c r="E6" s="9" t="s">
        <v>56</v>
      </c>
      <c r="F6" s="45"/>
      <c r="H6" s="107" t="s">
        <v>436</v>
      </c>
      <c r="I6" s="102" t="s">
        <v>565</v>
      </c>
    </row>
    <row r="7" spans="1:9" ht="15" x14ac:dyDescent="0.2">
      <c r="A7" s="10">
        <v>3</v>
      </c>
      <c r="B7" s="11" t="s">
        <v>16</v>
      </c>
      <c r="C7" s="9" t="str">
        <f>IFERROR(CONCATENATE(VLOOKUP($D$9,gminy_26[],katalog_gmin_PL26!$G$1,FALSE)," (",VLOOKUP($D$9,gminy_26[],katalog_gmin_PL26!$F$1,FALSE),")"),"")</f>
        <v>strefa świętokrzyska (PL2602)</v>
      </c>
      <c r="D7" s="45" t="str">
        <f>VLOOKUP($D$9,gminy_26[],katalog_gmin_PL26!$F$1,FALSE)</f>
        <v>PL2602</v>
      </c>
      <c r="E7" s="9" t="str">
        <f>IFERROR(CONCATENATE(VLOOKUP($F$8,powiaty_26[],katalogi!$E$1,FALSE)," (",VLOOKUP($F$8,powiaty_26[],katalogi!$D$1,FALSE),")"),"")</f>
        <v/>
      </c>
      <c r="F7" s="45" t="str">
        <f>IFERROR(VLOOKUP($F$8,powiaty_26[],katalogi!$D$1,FALSE),"brak")</f>
        <v>brak</v>
      </c>
      <c r="H7" s="107" t="s">
        <v>439</v>
      </c>
      <c r="I7" s="102" t="s">
        <v>566</v>
      </c>
    </row>
    <row r="8" spans="1:9" x14ac:dyDescent="0.2">
      <c r="A8" s="10">
        <v>4</v>
      </c>
      <c r="B8" s="11" t="s">
        <v>502</v>
      </c>
      <c r="C8" s="9" t="str">
        <f>IFERROR(VLOOKUP($D$9,gminy_26[],katalog_gmin_PL26!$E$1,FALSE),"")</f>
        <v>kielecki</v>
      </c>
      <c r="D8" s="45"/>
      <c r="E8" s="49"/>
      <c r="F8" s="45" t="str">
        <f>IFERROR(VLOOKUP($E$8,powiaty_26[[powiat]:[kod powiatu2]],2,FALSE),"brak")</f>
        <v>brak</v>
      </c>
    </row>
    <row r="9" spans="1:9" x14ac:dyDescent="0.2">
      <c r="A9" s="10">
        <v>5</v>
      </c>
      <c r="B9" s="25" t="s">
        <v>495</v>
      </c>
      <c r="C9" s="20" t="s">
        <v>140</v>
      </c>
      <c r="D9" s="45" t="str">
        <f>VLOOKUP($C$9,gminy_26[[nazwa gminy]:[kod gminy2]],2,FALSE)</f>
        <v>2604062</v>
      </c>
      <c r="E9" s="97" t="s">
        <v>432</v>
      </c>
      <c r="F9" s="45"/>
    </row>
    <row r="10" spans="1:9" ht="24" x14ac:dyDescent="0.2">
      <c r="A10" s="10">
        <v>6</v>
      </c>
      <c r="B10" s="11" t="s">
        <v>497</v>
      </c>
      <c r="C10" s="9" t="s">
        <v>57</v>
      </c>
      <c r="D10" s="45"/>
      <c r="E10" s="9" t="s">
        <v>57</v>
      </c>
      <c r="F10" s="45"/>
    </row>
    <row r="11" spans="1:9" x14ac:dyDescent="0.2">
      <c r="A11" s="10">
        <v>7</v>
      </c>
      <c r="B11" s="11" t="s">
        <v>12</v>
      </c>
      <c r="C11" s="9" t="s">
        <v>475</v>
      </c>
      <c r="D11" s="45"/>
      <c r="E11" s="9" t="s">
        <v>475</v>
      </c>
      <c r="F11" s="45"/>
    </row>
    <row r="12" spans="1:9" x14ac:dyDescent="0.2">
      <c r="A12" s="10">
        <v>8</v>
      </c>
      <c r="B12" s="11" t="s">
        <v>478</v>
      </c>
      <c r="C12" s="19" t="s">
        <v>567</v>
      </c>
      <c r="D12" s="48"/>
      <c r="E12" s="19"/>
      <c r="F12" s="48"/>
    </row>
    <row r="13" spans="1:9" x14ac:dyDescent="0.2">
      <c r="A13" s="10">
        <v>9</v>
      </c>
      <c r="B13" s="11" t="s">
        <v>479</v>
      </c>
      <c r="C13" s="112">
        <v>413023634</v>
      </c>
      <c r="D13" s="48"/>
      <c r="E13" s="19"/>
      <c r="F13" s="48"/>
    </row>
    <row r="14" spans="1:9" x14ac:dyDescent="0.2">
      <c r="A14" s="10">
        <v>10</v>
      </c>
      <c r="B14" s="11" t="s">
        <v>13</v>
      </c>
      <c r="C14" s="19"/>
      <c r="D14" s="48"/>
      <c r="E14" s="19"/>
      <c r="F14" s="48"/>
    </row>
    <row r="15" spans="1:9" ht="12.75" x14ac:dyDescent="0.2">
      <c r="A15" s="10">
        <v>11</v>
      </c>
      <c r="B15" s="11" t="s">
        <v>480</v>
      </c>
      <c r="C15" s="184" t="s">
        <v>568</v>
      </c>
      <c r="D15" s="48"/>
      <c r="E15" s="19"/>
      <c r="F15" s="48"/>
    </row>
    <row r="16" spans="1:9" x14ac:dyDescent="0.2">
      <c r="A16" s="10">
        <v>12</v>
      </c>
      <c r="B16" s="11" t="s">
        <v>9</v>
      </c>
      <c r="C16" s="19"/>
      <c r="D16" s="48"/>
      <c r="E16" s="19"/>
      <c r="F16" s="48"/>
    </row>
    <row r="17" spans="1:6" x14ac:dyDescent="0.2">
      <c r="B17" s="120" t="s">
        <v>311</v>
      </c>
    </row>
    <row r="18" spans="1:6" ht="12" customHeight="1" x14ac:dyDescent="0.2">
      <c r="A18" s="209" t="s">
        <v>501</v>
      </c>
      <c r="B18" s="209"/>
      <c r="C18" s="209"/>
      <c r="D18" s="209"/>
      <c r="E18" s="209"/>
    </row>
    <row r="19" spans="1:6" x14ac:dyDescent="0.2">
      <c r="A19" s="42" t="s">
        <v>7</v>
      </c>
      <c r="B19" s="42" t="s">
        <v>10</v>
      </c>
      <c r="C19" s="42" t="s">
        <v>437</v>
      </c>
      <c r="D19" s="46" t="s">
        <v>313</v>
      </c>
      <c r="E19" s="42" t="s">
        <v>438</v>
      </c>
      <c r="F19" s="46" t="s">
        <v>313</v>
      </c>
    </row>
    <row r="20" spans="1:6" x14ac:dyDescent="0.2">
      <c r="A20" s="10">
        <v>1</v>
      </c>
      <c r="B20" s="11" t="s">
        <v>499</v>
      </c>
      <c r="C20" s="105">
        <f>C$5</f>
        <v>2023</v>
      </c>
      <c r="D20" s="47"/>
      <c r="E20" s="105">
        <f>E$5</f>
        <v>0</v>
      </c>
      <c r="F20" s="47"/>
    </row>
    <row r="21" spans="1:6" x14ac:dyDescent="0.2">
      <c r="A21" s="10">
        <v>2</v>
      </c>
      <c r="B21" s="11" t="s">
        <v>8</v>
      </c>
      <c r="C21" s="30" t="s">
        <v>56</v>
      </c>
      <c r="D21" s="47"/>
      <c r="E21" s="30" t="s">
        <v>56</v>
      </c>
      <c r="F21" s="47"/>
    </row>
    <row r="22" spans="1:6" x14ac:dyDescent="0.2">
      <c r="A22" s="10">
        <v>3</v>
      </c>
      <c r="B22" s="11" t="s">
        <v>16</v>
      </c>
      <c r="C22" s="9" t="str">
        <f>IFERROR(CONCATENATE(VLOOKUP($D$9,gminy_26[],katalog_gmin_PL26!$G$1,FALSE)," (",VLOOKUP($D$9,gminy_26[],katalog_gmin_PL26!$F$1,FALSE),")"),"")</f>
        <v>strefa świętokrzyska (PL2602)</v>
      </c>
      <c r="D22" s="45" t="str">
        <f>VLOOKUP($D$9,gminy_26[],katalog_gmin_PL26!$F$1,FALSE)</f>
        <v>PL2602</v>
      </c>
      <c r="E22" s="9" t="str">
        <f>IFERROR(CONCATENATE(VLOOKUP($F$8,powiaty_26[],katalogi!$E$1,FALSE)," (",VLOOKUP($F$8,powiaty_26[],katalogi!$D$1,FALSE),")"),"")</f>
        <v/>
      </c>
      <c r="F22" s="45" t="str">
        <f>IFERROR(VLOOKUP($F$8,powiaty_26[],katalogi!$D$1,FALSE),"brak")</f>
        <v>brak</v>
      </c>
    </row>
    <row r="23" spans="1:6" x14ac:dyDescent="0.2">
      <c r="A23" s="10">
        <v>4</v>
      </c>
      <c r="B23" s="11" t="s">
        <v>15</v>
      </c>
      <c r="C23" s="9" t="str">
        <f>IFERROR(VLOOKUP($D$9,gminy_26[],katalog_gmin_PL26!$E$1,FALSE),"")</f>
        <v>kielecki</v>
      </c>
      <c r="D23" s="45"/>
      <c r="E23" s="106">
        <f>E$8</f>
        <v>0</v>
      </c>
      <c r="F23" s="45" t="str">
        <f>IFERROR(VLOOKUP($E$8,powiaty_26[[powiat]:[kod powiatu2]],2,FALSE),"brak")</f>
        <v>brak</v>
      </c>
    </row>
    <row r="24" spans="1:6" x14ac:dyDescent="0.2">
      <c r="A24" s="10">
        <v>5</v>
      </c>
      <c r="B24" s="25" t="s">
        <v>498</v>
      </c>
      <c r="C24" s="104" t="str">
        <f>C$9</f>
        <v>Górno</v>
      </c>
      <c r="D24" s="45" t="str">
        <f>VLOOKUP($C$9,gminy_26[[nazwa gminy]:[kod gminy2]],2,FALSE)</f>
        <v>2604062</v>
      </c>
      <c r="E24" s="97" t="s">
        <v>432</v>
      </c>
      <c r="F24" s="45"/>
    </row>
    <row r="25" spans="1:6" ht="24" x14ac:dyDescent="0.2">
      <c r="A25" s="10">
        <v>6</v>
      </c>
      <c r="B25" s="25" t="s">
        <v>484</v>
      </c>
      <c r="C25" s="31">
        <v>3</v>
      </c>
      <c r="D25" s="47"/>
      <c r="E25" s="31"/>
      <c r="F25" s="47"/>
    </row>
    <row r="26" spans="1:6" ht="24" x14ac:dyDescent="0.2">
      <c r="A26" s="10">
        <v>7</v>
      </c>
      <c r="B26" s="25" t="s">
        <v>485</v>
      </c>
      <c r="C26" s="31">
        <v>0</v>
      </c>
      <c r="D26" s="47"/>
      <c r="E26" s="31"/>
      <c r="F26" s="47"/>
    </row>
    <row r="27" spans="1:6" x14ac:dyDescent="0.2">
      <c r="B27" s="120" t="s">
        <v>311</v>
      </c>
    </row>
  </sheetData>
  <mergeCells count="3">
    <mergeCell ref="A3:E3"/>
    <mergeCell ref="A18:E18"/>
    <mergeCell ref="A1:C1"/>
  </mergeCells>
  <conditionalFormatting sqref="C20">
    <cfRule type="cellIs" dxfId="9" priority="5" operator="equal">
      <formula>0</formula>
    </cfRule>
  </conditionalFormatting>
  <conditionalFormatting sqref="C24">
    <cfRule type="cellIs" dxfId="8" priority="3" operator="equal">
      <formula>0</formula>
    </cfRule>
  </conditionalFormatting>
  <conditionalFormatting sqref="E20">
    <cfRule type="cellIs" dxfId="7" priority="4" operator="equal">
      <formula>0</formula>
    </cfRule>
  </conditionalFormatting>
  <conditionalFormatting sqref="E23">
    <cfRule type="cellIs" dxfId="6" priority="2" operator="equal">
      <formula>0</formula>
    </cfRule>
  </conditionalFormatting>
  <conditionalFormatting sqref="E28">
    <cfRule type="containsErrors" dxfId="5" priority="1">
      <formula>ISERROR(E28)</formula>
    </cfRule>
  </conditionalFormatting>
  <dataValidations count="4">
    <dataValidation type="list" allowBlank="1" showInputMessage="1" showErrorMessage="1" sqref="C9 C24" xr:uid="{00000000-0002-0000-0400-000000000000}">
      <formula1>nazwy_gmin</formula1>
    </dataValidation>
    <dataValidation type="list" allowBlank="1" showInputMessage="1" showErrorMessage="1" sqref="E23" xr:uid="{00000000-0002-0000-0400-000001000000}">
      <formula1>nazwy_powiaty</formula1>
    </dataValidation>
    <dataValidation type="list" allowBlank="1" showInputMessage="1" showErrorMessage="1" sqref="C5:E5" xr:uid="{00000000-0002-0000-0400-000002000000}">
      <formula1>"2020,2021,2022,2023,2024,2025,2026"</formula1>
    </dataValidation>
    <dataValidation type="list" allowBlank="1" showInputMessage="1" showErrorMessage="1" sqref="E8" xr:uid="{00000000-0002-0000-0400-000003000000}">
      <formula1>Powiaty</formula1>
    </dataValidation>
  </dataValidations>
  <hyperlinks>
    <hyperlink ref="H5" location="tab.2_EE_gminy!A1" tooltip="Tabela EE dla gmin" display="tab.2_EE_gminy" xr:uid="{00000000-0004-0000-0400-000001000000}"/>
    <hyperlink ref="H6" location="tab.3_KPP!A1" tooltip="Tabela kontrole" display="tab.3_KPP" xr:uid="{00000000-0004-0000-0400-000002000000}"/>
    <hyperlink ref="H7" location="tab.5_PDK!A1" tooltip="PDK" display="tab.5_PDK" xr:uid="{00000000-0004-0000-0400-000003000000}"/>
    <hyperlink ref="H4" location="tab.1_ZSO_gminy!A1" tooltip="Tabela ZSO dla gmin" display="tab.1_ZSO_gminy" xr:uid="{00000000-0004-0000-0400-000004000000}"/>
    <hyperlink ref="C15" r:id="rId1" xr:uid="{6780AEB9-A7FE-4EDA-86B7-17A3858BC6AB}"/>
  </hyperlinks>
  <pageMargins left="0.7" right="0.7" top="0.75" bottom="0.75" header="0.3" footer="0.3"/>
  <pageSetup paperSize="9" fitToWidth="0" orientation="portrait"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T31"/>
  <sheetViews>
    <sheetView zoomScale="90" zoomScaleNormal="90" workbookViewId="0">
      <pane xSplit="4" ySplit="10" topLeftCell="F11" activePane="bottomRight" state="frozen"/>
      <selection pane="topRight" activeCell="D1" sqref="D1"/>
      <selection pane="bottomLeft" activeCell="A8" sqref="A8"/>
      <selection pane="bottomRight" activeCell="J20" sqref="J20"/>
    </sheetView>
  </sheetViews>
  <sheetFormatPr defaultColWidth="9.140625" defaultRowHeight="12" x14ac:dyDescent="0.2"/>
  <cols>
    <col min="1" max="1" width="4.42578125" style="1" customWidth="1"/>
    <col min="2" max="2" width="12.7109375" style="1" customWidth="1"/>
    <col min="3" max="3" width="12.140625" style="1" customWidth="1"/>
    <col min="4" max="4" width="13.140625" style="1" customWidth="1"/>
    <col min="5" max="5" width="37.7109375" style="1" customWidth="1"/>
    <col min="6" max="6" width="29.7109375" style="1" customWidth="1"/>
    <col min="7" max="7" width="15.140625" style="1" customWidth="1"/>
    <col min="8" max="8" width="74.85546875" style="1" customWidth="1"/>
    <col min="9" max="9" width="15.28515625" style="1" customWidth="1"/>
    <col min="10" max="10" width="13.140625" style="1" customWidth="1"/>
    <col min="11" max="11" width="12.85546875" style="1" customWidth="1"/>
    <col min="12" max="12" width="12.42578125" style="1" customWidth="1"/>
    <col min="13" max="13" width="12" style="1" customWidth="1"/>
    <col min="14" max="14" width="17.28515625" style="1" customWidth="1"/>
    <col min="15" max="15" width="23" style="1" customWidth="1"/>
    <col min="16" max="16" width="41.28515625" style="1" customWidth="1"/>
    <col min="17" max="17" width="9.140625" style="1"/>
    <col min="18" max="18" width="11" style="1" hidden="1" customWidth="1"/>
    <col min="19" max="20" width="9.140625" style="1" hidden="1" customWidth="1"/>
    <col min="21" max="16384" width="9.140625" style="1"/>
  </cols>
  <sheetData>
    <row r="1" spans="1:20" ht="15.75" thickBot="1" x14ac:dyDescent="0.25">
      <c r="A1" s="121" t="s">
        <v>473</v>
      </c>
    </row>
    <row r="2" spans="1:20" ht="16.5" thickBot="1" x14ac:dyDescent="0.25">
      <c r="C2" s="59"/>
      <c r="D2" s="93"/>
      <c r="E2" s="94" t="s">
        <v>362</v>
      </c>
      <c r="F2" s="53">
        <f>IF(tabela_informacyjna_dla_JST!$C$5=0,"brak roku sprawozdawczego",tabela_informacyjna_dla_JST!$C$5)</f>
        <v>2023</v>
      </c>
    </row>
    <row r="3" spans="1:20" ht="18" thickBot="1" x14ac:dyDescent="0.25">
      <c r="C3" s="59"/>
      <c r="D3" s="93"/>
      <c r="E3" s="94" t="s">
        <v>453</v>
      </c>
      <c r="F3" s="79">
        <f>IFERROR(VLOOKUP(tabela_informacyjna_dla_JST!$D$9,gminy_26[],katalog_gmin_PL26!$H$1,FALSE),"brak nazwy gminy")</f>
        <v>169880</v>
      </c>
      <c r="G3" s="54"/>
      <c r="H3" s="54"/>
      <c r="I3" s="54"/>
      <c r="J3" s="54"/>
      <c r="K3" s="54"/>
      <c r="L3" s="54"/>
      <c r="M3" s="54"/>
      <c r="N3" s="54"/>
      <c r="R3" s="54"/>
    </row>
    <row r="4" spans="1:20" ht="18" thickBot="1" x14ac:dyDescent="0.25">
      <c r="C4" s="59"/>
      <c r="D4" s="93"/>
      <c r="E4" s="94" t="s">
        <v>430</v>
      </c>
      <c r="F4" s="79">
        <f>IFERROR(VLOOKUP(tabela_informacyjna_dla_JST!$D$9,gminy_26[],(HLOOKUP($F$2,katalog_gmin_PL26!$T$2:$Z$3,2,FALSE)),FALSE),"brak nazwy gminy lub roku")</f>
        <v>14260</v>
      </c>
      <c r="G4" s="54"/>
      <c r="H4" s="54"/>
      <c r="I4" s="215" t="s">
        <v>332</v>
      </c>
      <c r="J4" s="216"/>
      <c r="K4" s="216"/>
      <c r="L4" s="216"/>
      <c r="M4" s="216"/>
      <c r="N4" s="216"/>
      <c r="O4" s="217"/>
      <c r="R4" s="54"/>
    </row>
    <row r="5" spans="1:20" ht="32.25" x14ac:dyDescent="0.2">
      <c r="G5" s="54"/>
      <c r="H5" s="54"/>
      <c r="I5" s="95" t="s">
        <v>431</v>
      </c>
      <c r="J5" s="80" t="s">
        <v>25</v>
      </c>
      <c r="K5" s="80" t="s">
        <v>47</v>
      </c>
      <c r="L5" s="80" t="s">
        <v>47</v>
      </c>
      <c r="M5" s="80" t="s">
        <v>47</v>
      </c>
      <c r="N5" s="81"/>
      <c r="O5" s="81"/>
      <c r="R5" s="54"/>
    </row>
    <row r="6" spans="1:20" ht="22.15" customHeight="1" x14ac:dyDescent="0.2">
      <c r="A6" s="12" t="s">
        <v>405</v>
      </c>
      <c r="E6" s="13"/>
      <c r="F6" s="13"/>
      <c r="G6" s="13"/>
      <c r="H6" s="13"/>
      <c r="I6" s="96">
        <f t="shared" ref="I6:O6" si="0">SUM(I11:I31)</f>
        <v>25337</v>
      </c>
      <c r="J6" s="96">
        <f t="shared" si="0"/>
        <v>134</v>
      </c>
      <c r="K6" s="90">
        <f t="shared" si="0"/>
        <v>12638.819506</v>
      </c>
      <c r="L6" s="90">
        <f t="shared" si="0"/>
        <v>12455.572317999999</v>
      </c>
      <c r="M6" s="62">
        <f t="shared" si="0"/>
        <v>7.2018377900000008</v>
      </c>
      <c r="N6" s="56">
        <f t="shared" si="0"/>
        <v>6049018.0499999998</v>
      </c>
      <c r="O6" s="56">
        <f t="shared" si="0"/>
        <v>4348718.0999999996</v>
      </c>
      <c r="P6" s="13"/>
      <c r="R6" s="54"/>
    </row>
    <row r="7" spans="1:20" ht="18" customHeight="1" x14ac:dyDescent="0.2">
      <c r="A7" s="211" t="s">
        <v>7</v>
      </c>
      <c r="B7" s="211" t="s">
        <v>26</v>
      </c>
      <c r="C7" s="211" t="s">
        <v>0</v>
      </c>
      <c r="D7" s="211" t="s">
        <v>22</v>
      </c>
      <c r="E7" s="211" t="s">
        <v>23</v>
      </c>
      <c r="F7" s="211" t="s">
        <v>19</v>
      </c>
      <c r="G7" s="211" t="s">
        <v>18</v>
      </c>
      <c r="H7" s="218" t="s">
        <v>396</v>
      </c>
      <c r="I7" s="218"/>
      <c r="J7" s="218"/>
      <c r="K7" s="219" t="s">
        <v>487</v>
      </c>
      <c r="L7" s="220"/>
      <c r="M7" s="221"/>
      <c r="N7" s="211" t="s">
        <v>400</v>
      </c>
      <c r="O7" s="213" t="s">
        <v>494</v>
      </c>
      <c r="P7" s="211" t="s">
        <v>490</v>
      </c>
      <c r="R7" s="210" t="s">
        <v>313</v>
      </c>
      <c r="S7" s="210"/>
      <c r="T7" s="210"/>
    </row>
    <row r="8" spans="1:20" ht="51" customHeight="1" x14ac:dyDescent="0.2">
      <c r="A8" s="212"/>
      <c r="B8" s="212"/>
      <c r="C8" s="212"/>
      <c r="D8" s="212"/>
      <c r="E8" s="212"/>
      <c r="F8" s="212"/>
      <c r="G8" s="212"/>
      <c r="H8" s="33" t="s">
        <v>486</v>
      </c>
      <c r="I8" s="33" t="s">
        <v>452</v>
      </c>
      <c r="J8" s="33" t="s">
        <v>397</v>
      </c>
      <c r="K8" s="33" t="s">
        <v>31</v>
      </c>
      <c r="L8" s="33" t="s">
        <v>32</v>
      </c>
      <c r="M8" s="33" t="s">
        <v>35</v>
      </c>
      <c r="N8" s="212"/>
      <c r="O8" s="214"/>
      <c r="P8" s="212"/>
      <c r="R8" s="92" t="s">
        <v>399</v>
      </c>
      <c r="S8" s="92" t="s">
        <v>6</v>
      </c>
      <c r="T8" s="92" t="s">
        <v>2</v>
      </c>
    </row>
    <row r="9" spans="1:20" x14ac:dyDescent="0.2">
      <c r="A9" s="16">
        <v>1</v>
      </c>
      <c r="B9" s="16">
        <f>A9+1</f>
        <v>2</v>
      </c>
      <c r="C9" s="16">
        <f>B9+1</f>
        <v>3</v>
      </c>
      <c r="D9" s="16">
        <f>C9+1</f>
        <v>4</v>
      </c>
      <c r="E9" s="16">
        <f t="shared" ref="E9:P9" si="1">D9+1</f>
        <v>5</v>
      </c>
      <c r="F9" s="16">
        <f t="shared" si="1"/>
        <v>6</v>
      </c>
      <c r="G9" s="16">
        <f t="shared" si="1"/>
        <v>7</v>
      </c>
      <c r="H9" s="16">
        <f t="shared" si="1"/>
        <v>8</v>
      </c>
      <c r="I9" s="16">
        <f t="shared" si="1"/>
        <v>9</v>
      </c>
      <c r="J9" s="16">
        <f t="shared" ref="J9" si="2">I9+1</f>
        <v>10</v>
      </c>
      <c r="K9" s="16">
        <f t="shared" ref="K9" si="3">J9+1</f>
        <v>11</v>
      </c>
      <c r="L9" s="16">
        <f t="shared" ref="L9" si="4">K9+1</f>
        <v>12</v>
      </c>
      <c r="M9" s="16">
        <f t="shared" ref="M9" si="5">L9+1</f>
        <v>13</v>
      </c>
      <c r="N9" s="16">
        <f t="shared" ref="N9" si="6">M9+1</f>
        <v>14</v>
      </c>
      <c r="O9" s="16">
        <f t="shared" si="1"/>
        <v>15</v>
      </c>
      <c r="P9" s="16">
        <f t="shared" si="1"/>
        <v>16</v>
      </c>
      <c r="R9" s="75" t="s">
        <v>427</v>
      </c>
      <c r="S9" s="75" t="s">
        <v>428</v>
      </c>
      <c r="T9" s="75" t="s">
        <v>429</v>
      </c>
    </row>
    <row r="10" spans="1:20" ht="96" x14ac:dyDescent="0.2">
      <c r="A10" s="14"/>
      <c r="B10" s="88" t="s">
        <v>55</v>
      </c>
      <c r="C10" s="88" t="s">
        <v>34</v>
      </c>
      <c r="D10" s="88" t="s">
        <v>34</v>
      </c>
      <c r="E10" s="88" t="s">
        <v>34</v>
      </c>
      <c r="F10" s="124" t="s">
        <v>20</v>
      </c>
      <c r="G10" s="124" t="s">
        <v>395</v>
      </c>
      <c r="H10" s="124" t="s">
        <v>398</v>
      </c>
      <c r="I10" s="125" t="s">
        <v>426</v>
      </c>
      <c r="J10" s="125" t="s">
        <v>425</v>
      </c>
      <c r="K10" s="88" t="s">
        <v>34</v>
      </c>
      <c r="L10" s="88" t="s">
        <v>34</v>
      </c>
      <c r="M10" s="88" t="s">
        <v>34</v>
      </c>
      <c r="N10" s="126" t="s">
        <v>21</v>
      </c>
      <c r="O10" s="126" t="s">
        <v>29</v>
      </c>
      <c r="P10" s="126" t="s">
        <v>488</v>
      </c>
      <c r="R10" s="76" t="s">
        <v>313</v>
      </c>
      <c r="S10" s="76" t="s">
        <v>313</v>
      </c>
      <c r="T10" s="76" t="s">
        <v>313</v>
      </c>
    </row>
    <row r="11" spans="1:20" ht="22.5" customHeight="1" x14ac:dyDescent="0.2">
      <c r="A11" s="3">
        <v>1</v>
      </c>
      <c r="B11" s="15" t="str">
        <f>tabela_informacyjna_dla_JST!$C$9</f>
        <v>Górno</v>
      </c>
      <c r="C11" s="15" t="str">
        <f>tabela_informacyjna_dla_JST!$C$8</f>
        <v>kielecki</v>
      </c>
      <c r="D11" s="51" t="str">
        <f>IFERROR(_xlfn.CONCAT(tabela_informacyjna_dla_JST!$D$7,"_ZSO"),"brak nazwy gminy")</f>
        <v>PL2602_ZSO</v>
      </c>
      <c r="E11" s="22" t="str">
        <f>IFERROR(VLOOKUP($D11,kat_zadania[],katalogi!$N$1-katalogi!$L$1,FALSE),"brak nazwy gminy")</f>
        <v>Ograniczenie emisji z instalacji o małej mocy do 1 MW, w których następuje spalanie paliw stałych</v>
      </c>
      <c r="F11" s="31" t="s">
        <v>569</v>
      </c>
      <c r="G11" s="31" t="s">
        <v>570</v>
      </c>
      <c r="H11" s="31" t="s">
        <v>382</v>
      </c>
      <c r="I11" s="195">
        <v>839</v>
      </c>
      <c r="J11" s="195">
        <v>6</v>
      </c>
      <c r="K11" s="74">
        <f>IFERROR(VLOOKUP($R11,kat_wsk_efektu[],wskaźniki_efektu!C$1,FALSE)*$I11/1000,"")</f>
        <v>421.24847600000004</v>
      </c>
      <c r="L11" s="74">
        <f>IFERROR(VLOOKUP($R11,kat_wsk_efektu[],wskaźniki_efektu!D$1,FALSE)*$I11/1000,"")</f>
        <v>414.98785800000002</v>
      </c>
      <c r="M11" s="74">
        <f>IFERROR(VLOOKUP($R11,kat_wsk_efektu[],wskaźniki_efektu!E$1,FALSE)*$I11/1000,"")</f>
        <v>0.23998755999999999</v>
      </c>
      <c r="N11" s="113">
        <v>66825</v>
      </c>
      <c r="O11" s="113">
        <v>41348.160000000003</v>
      </c>
      <c r="P11" s="114" t="s">
        <v>575</v>
      </c>
      <c r="R11" s="77" t="str">
        <f>IFERROR(VLOOKUP($H11,wskaźniki_efektu!$B$21:$C$34,wskaźniki_efektu!$C$1-wskaźniki_efektu!$A$1,FALSE),"")</f>
        <v>w_gaz</v>
      </c>
      <c r="S11" s="91" t="str">
        <f>VLOOKUP($B11,gminy_26[[nazwa gminy]:[kod gminy2]],2,FALSE)</f>
        <v>2604062</v>
      </c>
      <c r="T11" s="91" t="str">
        <f>VLOOKUP($S11,gminy_26[],katalog_gmin_PL26!$F$1,FALSE)</f>
        <v>PL2602</v>
      </c>
    </row>
    <row r="12" spans="1:20" ht="22.5" customHeight="1" x14ac:dyDescent="0.2">
      <c r="A12" s="3">
        <v>2</v>
      </c>
      <c r="B12" s="15" t="str">
        <f>tabela_informacyjna_dla_JST!$C$9</f>
        <v>Górno</v>
      </c>
      <c r="C12" s="15" t="str">
        <f>tabela_informacyjna_dla_JST!$C$8</f>
        <v>kielecki</v>
      </c>
      <c r="D12" s="51" t="str">
        <f>IFERROR(CONCATENATE(tabela_informacyjna_dla_JST!$D$7,"_ZSO"),"brak nazwy gminy")</f>
        <v>PL2602_ZSO</v>
      </c>
      <c r="E12" s="22" t="str">
        <f>IFERROR(VLOOKUP($D12,kat_zadania[],katalogi!$N$1-katalogi!$L$1,FALSE),"brak nazwy gminy")</f>
        <v>Ograniczenie emisji z instalacji o małej mocy do 1 MW, w których następuje spalanie paliw stałych</v>
      </c>
      <c r="F12" s="31" t="s">
        <v>569</v>
      </c>
      <c r="G12" s="31" t="s">
        <v>570</v>
      </c>
      <c r="H12" s="31" t="s">
        <v>385</v>
      </c>
      <c r="I12" s="195">
        <v>1603</v>
      </c>
      <c r="J12" s="195">
        <v>10</v>
      </c>
      <c r="K12" s="74">
        <f>IFERROR(VLOOKUP($R12,kat_wsk_efektu[],wskaźniki_efektu!C$1,FALSE)*$I12/1000,"")</f>
        <v>775.37109999999996</v>
      </c>
      <c r="L12" s="74">
        <f>IFERROR(VLOOKUP($R12,kat_wsk_efektu[],wskaźniki_efektu!D$1,FALSE)*$I12/1000,"")</f>
        <v>764.99007199999994</v>
      </c>
      <c r="M12" s="74">
        <f>IFERROR(VLOOKUP($R12,kat_wsk_efektu[],wskaźniki_efektu!E$1,FALSE)*$I12/1000,"")</f>
        <v>0.44407909000000001</v>
      </c>
      <c r="N12" s="113">
        <v>260150</v>
      </c>
      <c r="O12" s="113">
        <v>138497.46</v>
      </c>
      <c r="P12" s="114" t="s">
        <v>575</v>
      </c>
      <c r="R12" s="77" t="str">
        <f>IFERROR(VLOOKUP($H12,wskaźniki_efektu!$B$21:$C$34,wskaźniki_efektu!$C$1-wskaźniki_efektu!$A$1,FALSE),"")</f>
        <v>w_WK_eco_b</v>
      </c>
      <c r="S12" s="91" t="str">
        <f>VLOOKUP($B12,gminy_26[[nazwa gminy]:[kod gminy2]],2,FALSE)</f>
        <v>2604062</v>
      </c>
      <c r="T12" s="91" t="str">
        <f>VLOOKUP($S12,gminy_26[],katalog_gmin_PL26!$F$1,FALSE)</f>
        <v>PL2602</v>
      </c>
    </row>
    <row r="13" spans="1:20" ht="22.5" customHeight="1" x14ac:dyDescent="0.2">
      <c r="A13" s="3">
        <v>3</v>
      </c>
      <c r="B13" s="15" t="str">
        <f>tabela_informacyjna_dla_JST!$C$9</f>
        <v>Górno</v>
      </c>
      <c r="C13" s="15" t="str">
        <f>tabela_informacyjna_dla_JST!$C$8</f>
        <v>kielecki</v>
      </c>
      <c r="D13" s="51" t="str">
        <f>IFERROR(CONCATENATE(tabela_informacyjna_dla_JST!$D$7,"_ZSO"),"brak nazwy gminy")</f>
        <v>PL2602_ZSO</v>
      </c>
      <c r="E13" s="22" t="str">
        <f>IFERROR(VLOOKUP($D13,kat_zadania[],katalogi!$N$1-katalogi!$L$1,FALSE),"brak nazwy gminy")</f>
        <v>Ograniczenie emisji z instalacji o małej mocy do 1 MW, w których następuje spalanie paliw stałych</v>
      </c>
      <c r="F13" s="31" t="s">
        <v>569</v>
      </c>
      <c r="G13" s="31" t="s">
        <v>570</v>
      </c>
      <c r="H13" s="31" t="s">
        <v>383</v>
      </c>
      <c r="I13" s="197">
        <v>9716</v>
      </c>
      <c r="J13" s="197">
        <v>49</v>
      </c>
      <c r="K13" s="74">
        <f>IFERROR(VLOOKUP($R13,kat_wsk_efektu[],wskaźniki_efektu!C$1,FALSE)*$I13/1000,"")</f>
        <v>4881.6001639999995</v>
      </c>
      <c r="L13" s="74">
        <f>IFERROR(VLOOKUP($R13,kat_wsk_efektu[],wskaźniki_efektu!D$1,FALSE)*$I13/1000,"")</f>
        <v>4809.0993719999997</v>
      </c>
      <c r="M13" s="74">
        <f>IFERROR(VLOOKUP($R13,kat_wsk_efektu[],wskaźniki_efektu!E$1,FALSE)*$I13/1000,"")</f>
        <v>2.7791646399999999</v>
      </c>
      <c r="N13" s="113">
        <v>1624914.33</v>
      </c>
      <c r="O13" s="113">
        <v>1299102.1200000001</v>
      </c>
      <c r="P13" s="114" t="s">
        <v>575</v>
      </c>
      <c r="R13" s="77" t="str">
        <f>IFERROR(VLOOKUP($H13,wskaźniki_efektu!$B$21:$C$34,wskaźniki_efektu!$C$1-wskaźniki_efektu!$A$1,FALSE),"")</f>
        <v>w_pompa</v>
      </c>
      <c r="S13" s="91" t="str">
        <f>VLOOKUP($B13,gminy_26[[nazwa gminy]:[kod gminy2]],2,FALSE)</f>
        <v>2604062</v>
      </c>
      <c r="T13" s="91" t="str">
        <f>VLOOKUP($S13,gminy_26[],katalog_gmin_PL26!$F$1,FALSE)</f>
        <v>PL2602</v>
      </c>
    </row>
    <row r="14" spans="1:20" ht="22.5" customHeight="1" x14ac:dyDescent="0.2">
      <c r="A14" s="3">
        <v>4</v>
      </c>
      <c r="B14" s="15" t="str">
        <f>tabela_informacyjna_dla_JST!$C$9</f>
        <v>Górno</v>
      </c>
      <c r="C14" s="15" t="str">
        <f>tabela_informacyjna_dla_JST!$C$8</f>
        <v>kielecki</v>
      </c>
      <c r="D14" s="51" t="str">
        <f>IFERROR(CONCATENATE(tabela_informacyjna_dla_JST!$D$7,"_ZSO"),"brak nazwy gminy")</f>
        <v>PL2602_ZSO</v>
      </c>
      <c r="E14" s="22" t="str">
        <f>IFERROR(VLOOKUP($D14,kat_zadania[],katalogi!$N$1-katalogi!$L$1,FALSE),"brak nazwy gminy")</f>
        <v>Ograniczenie emisji z instalacji o małej mocy do 1 MW, w których następuje spalanie paliw stałych</v>
      </c>
      <c r="F14" s="31" t="s">
        <v>569</v>
      </c>
      <c r="G14" s="31" t="s">
        <v>570</v>
      </c>
      <c r="H14" s="31" t="s">
        <v>389</v>
      </c>
      <c r="I14" s="112">
        <v>816</v>
      </c>
      <c r="J14" s="112">
        <v>4</v>
      </c>
      <c r="K14" s="74">
        <f>IFERROR(VLOOKUP($R14,kat_wsk_efektu[],wskaźniki_efektu!C$1,FALSE)*$I14/1000,"")</f>
        <v>409.78459200000003</v>
      </c>
      <c r="L14" s="74">
        <f>IFERROR(VLOOKUP($R14,kat_wsk_efektu[],wskaźniki_efektu!D$1,FALSE)*$I14/1000,"")</f>
        <v>403.69560000000001</v>
      </c>
      <c r="M14" s="74">
        <f>IFERROR(VLOOKUP($R14,kat_wsk_efektu[],wskaźniki_efektu!E$1,FALSE)*$I14/1000,"")</f>
        <v>0.23340864000000003</v>
      </c>
      <c r="N14" s="113">
        <v>321900</v>
      </c>
      <c r="O14" s="113">
        <v>125058.16</v>
      </c>
      <c r="P14" s="114" t="s">
        <v>575</v>
      </c>
      <c r="R14" s="77" t="str">
        <f>IFERROR(VLOOKUP($H14,wskaźniki_efektu!$B$21:$C$34,wskaźniki_efektu!$C$1-wskaźniki_efektu!$A$1,FALSE),"")</f>
        <v>termo+gaz</v>
      </c>
      <c r="S14" s="91" t="str">
        <f>VLOOKUP($B14,gminy_26[[nazwa gminy]:[kod gminy2]],2,FALSE)</f>
        <v>2604062</v>
      </c>
      <c r="T14" s="91" t="str">
        <f>VLOOKUP($S14,gminy_26[],katalog_gmin_PL26!$F$1,FALSE)</f>
        <v>PL2602</v>
      </c>
    </row>
    <row r="15" spans="1:20" ht="22.5" customHeight="1" x14ac:dyDescent="0.2">
      <c r="A15" s="3">
        <v>5</v>
      </c>
      <c r="B15" s="15" t="str">
        <f>tabela_informacyjna_dla_JST!$C$9</f>
        <v>Górno</v>
      </c>
      <c r="C15" s="15" t="str">
        <f>tabela_informacyjna_dla_JST!$C$8</f>
        <v>kielecki</v>
      </c>
      <c r="D15" s="51" t="str">
        <f>IFERROR(CONCATENATE(tabela_informacyjna_dla_JST!$D$7,"_ZSO"),"brak nazwy gminy")</f>
        <v>PL2602_ZSO</v>
      </c>
      <c r="E15" s="22" t="str">
        <f>IFERROR(VLOOKUP($D15,kat_zadania[],katalogi!$N$1-katalogi!$L$1,FALSE),"brak nazwy gminy")</f>
        <v>Ograniczenie emisji z instalacji o małej mocy do 1 MW, w których następuje spalanie paliw stałych</v>
      </c>
      <c r="F15" s="31" t="s">
        <v>569</v>
      </c>
      <c r="G15" s="31" t="s">
        <v>570</v>
      </c>
      <c r="H15" s="31" t="s">
        <v>392</v>
      </c>
      <c r="I15" s="112">
        <v>4094</v>
      </c>
      <c r="J15" s="112">
        <v>24</v>
      </c>
      <c r="K15" s="74">
        <f>IFERROR(VLOOKUP($R15,kat_wsk_efektu[],wskaźniki_efektu!C$1,FALSE)*$I15/1000,"")</f>
        <v>2003.2678920000001</v>
      </c>
      <c r="L15" s="74">
        <f>IFERROR(VLOOKUP($R15,kat_wsk_efektu[],wskaźniki_efektu!D$1,FALSE)*$I15/1000,"")</f>
        <v>1975.5474180000001</v>
      </c>
      <c r="M15" s="74">
        <f>IFERROR(VLOOKUP($R15,kat_wsk_efektu[],wskaźniki_efektu!E$1,FALSE)*$I15/1000,"")</f>
        <v>1.14521462</v>
      </c>
      <c r="N15" s="113">
        <v>1013350.11</v>
      </c>
      <c r="O15" s="113">
        <v>774733.71</v>
      </c>
      <c r="P15" s="114" t="s">
        <v>575</v>
      </c>
      <c r="R15" s="77" t="str">
        <f>IFERROR(VLOOKUP($H15,wskaźniki_efektu!$B$21:$C$34,wskaźniki_efektu!$C$1-wskaźniki_efektu!$A$1,FALSE),"")</f>
        <v>termo+WK_eco_b</v>
      </c>
      <c r="S15" s="91" t="str">
        <f>VLOOKUP($B15,gminy_26[[nazwa gminy]:[kod gminy2]],2,FALSE)</f>
        <v>2604062</v>
      </c>
      <c r="T15" s="91" t="str">
        <f>VLOOKUP($S15,gminy_26[],katalog_gmin_PL26!$F$1,FALSE)</f>
        <v>PL2602</v>
      </c>
    </row>
    <row r="16" spans="1:20" ht="22.5" customHeight="1" x14ac:dyDescent="0.2">
      <c r="A16" s="3">
        <v>6</v>
      </c>
      <c r="B16" s="15" t="str">
        <f>tabela_informacyjna_dla_JST!$C$9</f>
        <v>Górno</v>
      </c>
      <c r="C16" s="15" t="str">
        <f>tabela_informacyjna_dla_JST!$C$8</f>
        <v>kielecki</v>
      </c>
      <c r="D16" s="51" t="str">
        <f>IFERROR(CONCATENATE(tabela_informacyjna_dla_JST!$D$7,"_ZSO"),"brak nazwy gminy")</f>
        <v>PL2602_ZSO</v>
      </c>
      <c r="E16" s="22" t="str">
        <f>IFERROR(VLOOKUP($D16,kat_zadania[],katalogi!$N$1-katalogi!$L$1,FALSE),"brak nazwy gminy")</f>
        <v>Ograniczenie emisji z instalacji o małej mocy do 1 MW, w których następuje spalanie paliw stałych</v>
      </c>
      <c r="F16" s="31" t="s">
        <v>569</v>
      </c>
      <c r="G16" s="31" t="s">
        <v>570</v>
      </c>
      <c r="H16" s="31" t="s">
        <v>391</v>
      </c>
      <c r="I16" s="112">
        <v>617</v>
      </c>
      <c r="J16" s="112">
        <v>3</v>
      </c>
      <c r="K16" s="74">
        <f>IFERROR(VLOOKUP($R16,kat_wsk_efektu[],wskaźniki_efektu!C$1,FALSE)*$I16/1000,"")</f>
        <v>302.96057400000001</v>
      </c>
      <c r="L16" s="74">
        <f>IFERROR(VLOOKUP($R16,kat_wsk_efektu[],wskaźniki_efektu!D$1,FALSE)*$I16/1000,"")</f>
        <v>299.76451399999996</v>
      </c>
      <c r="M16" s="74">
        <f>IFERROR(VLOOKUP($R16,kat_wsk_efektu[],wskaźniki_efektu!E$1,FALSE)*$I16/1000,"")</f>
        <v>0.17120516</v>
      </c>
      <c r="N16" s="113">
        <v>159896.75</v>
      </c>
      <c r="O16" s="113">
        <v>80758.509999999995</v>
      </c>
      <c r="P16" s="114" t="s">
        <v>575</v>
      </c>
      <c r="R16" s="77" t="str">
        <f>IFERROR(VLOOKUP($H16,wskaźniki_efektu!$B$21:$C$34,wskaźniki_efektu!$C$1-wskaźniki_efektu!$A$1,FALSE),"")</f>
        <v>termo+WK_eco</v>
      </c>
      <c r="S16" s="91" t="str">
        <f>VLOOKUP($B16,gminy_26[[nazwa gminy]:[kod gminy2]],2,FALSE)</f>
        <v>2604062</v>
      </c>
      <c r="T16" s="91" t="str">
        <f>VLOOKUP($S16,gminy_26[],katalog_gmin_PL26!$F$1,FALSE)</f>
        <v>PL2602</v>
      </c>
    </row>
    <row r="17" spans="1:20" ht="22.5" customHeight="1" x14ac:dyDescent="0.2">
      <c r="A17" s="3">
        <v>7</v>
      </c>
      <c r="B17" s="15" t="str">
        <f>tabela_informacyjna_dla_JST!$C$9</f>
        <v>Górno</v>
      </c>
      <c r="C17" s="15" t="str">
        <f>tabela_informacyjna_dla_JST!$C$8</f>
        <v>kielecki</v>
      </c>
      <c r="D17" s="51" t="str">
        <f>IFERROR(CONCATENATE(tabela_informacyjna_dla_JST!$D$7,"_ZSO"),"brak nazwy gminy")</f>
        <v>PL2602_ZSO</v>
      </c>
      <c r="E17" s="22" t="str">
        <f>IFERROR(VLOOKUP($D17,kat_zadania[],katalogi!$N$1-katalogi!$L$1,FALSE),"brak nazwy gminy")</f>
        <v>Ograniczenie emisji z instalacji o małej mocy do 1 MW, w których następuje spalanie paliw stałych</v>
      </c>
      <c r="F17" s="31" t="s">
        <v>569</v>
      </c>
      <c r="G17" s="31" t="s">
        <v>570</v>
      </c>
      <c r="H17" s="31" t="s">
        <v>390</v>
      </c>
      <c r="I17" s="112">
        <v>7652</v>
      </c>
      <c r="J17" s="112">
        <v>38</v>
      </c>
      <c r="K17" s="74">
        <f>IFERROR(VLOOKUP($R17,kat_wsk_efektu[],wskaźniki_efektu!C$1,FALSE)*$I17/1000,"")</f>
        <v>3844.5867079999998</v>
      </c>
      <c r="L17" s="74">
        <f>IFERROR(VLOOKUP($R17,kat_wsk_efektu[],wskaźniki_efektu!D$1,FALSE)*$I17/1000,"")</f>
        <v>3787.4874839999998</v>
      </c>
      <c r="M17" s="74">
        <f>IFERROR(VLOOKUP($R17,kat_wsk_efektu[],wskaźniki_efektu!E$1,FALSE)*$I17/1000,"")</f>
        <v>2.1887780800000001</v>
      </c>
      <c r="N17" s="113">
        <v>2601981.86</v>
      </c>
      <c r="O17" s="113">
        <v>1889219.98</v>
      </c>
      <c r="P17" s="114" t="s">
        <v>575</v>
      </c>
      <c r="R17" s="77" t="str">
        <f>IFERROR(VLOOKUP($H17,wskaźniki_efektu!$B$21:$C$34,wskaźniki_efektu!$C$1-wskaźniki_efektu!$A$1,FALSE),"")</f>
        <v>w_pompa</v>
      </c>
      <c r="S17" s="91" t="str">
        <f>VLOOKUP($B17,gminy_26[[nazwa gminy]:[kod gminy2]],2,FALSE)</f>
        <v>2604062</v>
      </c>
      <c r="T17" s="91" t="str">
        <f>VLOOKUP($S17,gminy_26[],katalog_gmin_PL26!$F$1,FALSE)</f>
        <v>PL2602</v>
      </c>
    </row>
    <row r="18" spans="1:20" s="193" customFormat="1" ht="22.5" customHeight="1" x14ac:dyDescent="0.2">
      <c r="A18" s="185"/>
      <c r="B18" s="15"/>
      <c r="C18" s="15"/>
      <c r="D18" s="186"/>
      <c r="E18" s="187"/>
      <c r="F18" s="188"/>
      <c r="G18" s="188"/>
      <c r="H18" s="188"/>
      <c r="I18" s="189"/>
      <c r="J18" s="189"/>
      <c r="K18" s="190"/>
      <c r="L18" s="190"/>
      <c r="M18" s="190"/>
      <c r="N18" s="191"/>
      <c r="O18" s="191"/>
      <c r="P18" s="192"/>
      <c r="R18" s="194" t="str">
        <f>IFERROR(VLOOKUP($H18,wskaźniki_efektu!$B$21:$C$34,wskaźniki_efektu!$C$1-wskaźniki_efektu!$A$1,FALSE),"")</f>
        <v/>
      </c>
      <c r="S18" s="185" t="e">
        <f>VLOOKUP($B18,gminy_26[[nazwa gminy]:[kod gminy2]],2,FALSE)</f>
        <v>#N/A</v>
      </c>
      <c r="T18" s="185" t="e">
        <f>VLOOKUP($S18,gminy_26[],katalog_gmin_PL26!$F$1,FALSE)</f>
        <v>#N/A</v>
      </c>
    </row>
    <row r="19" spans="1:20" s="193" customFormat="1" ht="22.5" customHeight="1" x14ac:dyDescent="0.2">
      <c r="A19" s="185"/>
      <c r="B19" s="15"/>
      <c r="C19" s="15"/>
      <c r="D19" s="186"/>
      <c r="E19" s="187"/>
      <c r="F19" s="188"/>
      <c r="G19" s="188"/>
      <c r="H19" s="188"/>
      <c r="I19" s="189"/>
      <c r="J19" s="189"/>
      <c r="K19" s="190"/>
      <c r="L19" s="190"/>
      <c r="M19" s="190"/>
      <c r="N19" s="191"/>
      <c r="O19" s="191"/>
      <c r="P19" s="192"/>
      <c r="R19" s="194" t="str">
        <f>IFERROR(VLOOKUP($H19,wskaźniki_efektu!$B$21:$C$34,wskaźniki_efektu!$C$1-wskaźniki_efektu!$A$1,FALSE),"")</f>
        <v/>
      </c>
      <c r="S19" s="185" t="e">
        <f>VLOOKUP($B19,gminy_26[[nazwa gminy]:[kod gminy2]],2,FALSE)</f>
        <v>#N/A</v>
      </c>
      <c r="T19" s="185" t="e">
        <f>VLOOKUP($S19,gminy_26[],katalog_gmin_PL26!$F$1,FALSE)</f>
        <v>#N/A</v>
      </c>
    </row>
    <row r="20" spans="1:20" s="193" customFormat="1" ht="22.5" customHeight="1" x14ac:dyDescent="0.2">
      <c r="A20" s="185"/>
      <c r="B20" s="15"/>
      <c r="C20" s="15"/>
      <c r="D20" s="186"/>
      <c r="E20" s="187"/>
      <c r="F20" s="188"/>
      <c r="G20" s="188"/>
      <c r="H20" s="188"/>
      <c r="I20" s="189"/>
      <c r="J20" s="189"/>
      <c r="K20" s="190"/>
      <c r="L20" s="190"/>
      <c r="M20" s="190"/>
      <c r="N20" s="191"/>
      <c r="O20" s="191"/>
      <c r="P20" s="192"/>
      <c r="R20" s="194" t="str">
        <f>IFERROR(VLOOKUP($H20,wskaźniki_efektu!$B$21:$C$34,wskaźniki_efektu!$C$1-wskaźniki_efektu!$A$1,FALSE),"")</f>
        <v/>
      </c>
      <c r="S20" s="185" t="e">
        <f>VLOOKUP($B20,gminy_26[[nazwa gminy]:[kod gminy2]],2,FALSE)</f>
        <v>#N/A</v>
      </c>
      <c r="T20" s="185" t="e">
        <f>VLOOKUP($S20,gminy_26[],katalog_gmin_PL26!$F$1,FALSE)</f>
        <v>#N/A</v>
      </c>
    </row>
    <row r="21" spans="1:20" s="193" customFormat="1" ht="22.5" customHeight="1" x14ac:dyDescent="0.2">
      <c r="A21" s="185"/>
      <c r="B21" s="15"/>
      <c r="C21" s="15"/>
      <c r="D21" s="186"/>
      <c r="E21" s="187"/>
      <c r="F21" s="188"/>
      <c r="G21" s="188"/>
      <c r="H21" s="188"/>
      <c r="I21" s="189"/>
      <c r="J21" s="189"/>
      <c r="K21" s="190"/>
      <c r="L21" s="190"/>
      <c r="M21" s="190"/>
      <c r="N21" s="191"/>
      <c r="O21" s="191"/>
      <c r="P21" s="192"/>
      <c r="R21" s="194" t="str">
        <f>IFERROR(VLOOKUP($H21,wskaźniki_efektu!$B$21:$C$34,wskaźniki_efektu!$C$1-wskaźniki_efektu!$A$1,FALSE),"")</f>
        <v/>
      </c>
      <c r="S21" s="185" t="e">
        <f>VLOOKUP($B21,gminy_26[[nazwa gminy]:[kod gminy2]],2,FALSE)</f>
        <v>#N/A</v>
      </c>
      <c r="T21" s="185" t="e">
        <f>VLOOKUP($S21,gminy_26[],katalog_gmin_PL26!$F$1,FALSE)</f>
        <v>#N/A</v>
      </c>
    </row>
    <row r="22" spans="1:20" s="193" customFormat="1" ht="22.5" customHeight="1" x14ac:dyDescent="0.2">
      <c r="A22" s="185"/>
      <c r="B22" s="15"/>
      <c r="C22" s="15"/>
      <c r="D22" s="186"/>
      <c r="E22" s="187"/>
      <c r="F22" s="188"/>
      <c r="G22" s="188"/>
      <c r="H22" s="188"/>
      <c r="I22" s="189"/>
      <c r="J22" s="189"/>
      <c r="K22" s="190"/>
      <c r="L22" s="190"/>
      <c r="M22" s="190"/>
      <c r="N22" s="191"/>
      <c r="O22" s="191"/>
      <c r="P22" s="192"/>
      <c r="R22" s="194" t="str">
        <f>IFERROR(VLOOKUP($H22,wskaźniki_efektu!$B$21:$C$34,wskaźniki_efektu!$C$1-wskaźniki_efektu!$A$1,FALSE),"")</f>
        <v/>
      </c>
      <c r="S22" s="185" t="e">
        <f>VLOOKUP($B22,gminy_26[[nazwa gminy]:[kod gminy2]],2,FALSE)</f>
        <v>#N/A</v>
      </c>
      <c r="T22" s="185" t="e">
        <f>VLOOKUP($S22,gminy_26[],katalog_gmin_PL26!$F$1,FALSE)</f>
        <v>#N/A</v>
      </c>
    </row>
    <row r="23" spans="1:20" s="193" customFormat="1" ht="22.5" customHeight="1" x14ac:dyDescent="0.2">
      <c r="A23" s="185"/>
      <c r="B23" s="15"/>
      <c r="C23" s="15"/>
      <c r="D23" s="186"/>
      <c r="E23" s="187"/>
      <c r="F23" s="188"/>
      <c r="G23" s="188"/>
      <c r="H23" s="188"/>
      <c r="I23" s="189"/>
      <c r="J23" s="189"/>
      <c r="K23" s="190"/>
      <c r="L23" s="190"/>
      <c r="M23" s="190"/>
      <c r="N23" s="191"/>
      <c r="O23" s="191"/>
      <c r="P23" s="192"/>
      <c r="R23" s="194" t="str">
        <f>IFERROR(VLOOKUP($H23,wskaźniki_efektu!$B$21:$C$34,wskaźniki_efektu!$C$1-wskaźniki_efektu!$A$1,FALSE),"")</f>
        <v/>
      </c>
      <c r="S23" s="185" t="e">
        <f>VLOOKUP($B23,gminy_26[[nazwa gminy]:[kod gminy2]],2,FALSE)</f>
        <v>#N/A</v>
      </c>
      <c r="T23" s="185" t="e">
        <f>VLOOKUP($S23,gminy_26[],katalog_gmin_PL26!$F$1,FALSE)</f>
        <v>#N/A</v>
      </c>
    </row>
    <row r="24" spans="1:20" s="193" customFormat="1" ht="22.5" customHeight="1" x14ac:dyDescent="0.2">
      <c r="A24" s="185"/>
      <c r="B24" s="15"/>
      <c r="C24" s="15"/>
      <c r="D24" s="186"/>
      <c r="E24" s="187"/>
      <c r="F24" s="188"/>
      <c r="G24" s="188"/>
      <c r="H24" s="188"/>
      <c r="I24" s="189"/>
      <c r="J24" s="189"/>
      <c r="K24" s="190"/>
      <c r="L24" s="190"/>
      <c r="M24" s="190"/>
      <c r="N24" s="191"/>
      <c r="O24" s="191"/>
      <c r="P24" s="192"/>
      <c r="R24" s="194" t="str">
        <f>IFERROR(VLOOKUP($H24,wskaźniki_efektu!$B$21:$C$34,wskaźniki_efektu!$C$1-wskaźniki_efektu!$A$1,FALSE),"")</f>
        <v/>
      </c>
      <c r="S24" s="185" t="e">
        <f>VLOOKUP($B24,gminy_26[[nazwa gminy]:[kod gminy2]],2,FALSE)</f>
        <v>#N/A</v>
      </c>
      <c r="T24" s="185" t="e">
        <f>VLOOKUP($S24,gminy_26[],katalog_gmin_PL26!$F$1,FALSE)</f>
        <v>#N/A</v>
      </c>
    </row>
    <row r="25" spans="1:20" s="193" customFormat="1" ht="22.5" customHeight="1" x14ac:dyDescent="0.2">
      <c r="A25" s="185"/>
      <c r="B25" s="15"/>
      <c r="C25" s="15"/>
      <c r="D25" s="186"/>
      <c r="E25" s="187"/>
      <c r="F25" s="188"/>
      <c r="G25" s="188"/>
      <c r="H25" s="188"/>
      <c r="I25" s="189"/>
      <c r="J25" s="189"/>
      <c r="K25" s="190"/>
      <c r="L25" s="190"/>
      <c r="M25" s="190"/>
      <c r="N25" s="191"/>
      <c r="O25" s="191"/>
      <c r="P25" s="192"/>
      <c r="R25" s="194" t="str">
        <f>IFERROR(VLOOKUP($H25,wskaźniki_efektu!$B$21:$C$34,wskaźniki_efektu!$C$1-wskaźniki_efektu!$A$1,FALSE),"")</f>
        <v/>
      </c>
      <c r="S25" s="185" t="e">
        <f>VLOOKUP($B25,gminy_26[[nazwa gminy]:[kod gminy2]],2,FALSE)</f>
        <v>#N/A</v>
      </c>
      <c r="T25" s="185" t="e">
        <f>VLOOKUP($S25,gminy_26[],katalog_gmin_PL26!$F$1,FALSE)</f>
        <v>#N/A</v>
      </c>
    </row>
    <row r="26" spans="1:20" s="193" customFormat="1" ht="22.5" customHeight="1" x14ac:dyDescent="0.2">
      <c r="A26" s="185"/>
      <c r="B26" s="15"/>
      <c r="C26" s="15"/>
      <c r="D26" s="186"/>
      <c r="E26" s="187"/>
      <c r="F26" s="188"/>
      <c r="G26" s="188"/>
      <c r="H26" s="188"/>
      <c r="I26" s="189"/>
      <c r="J26" s="189"/>
      <c r="K26" s="190"/>
      <c r="L26" s="190"/>
      <c r="M26" s="190"/>
      <c r="N26" s="191"/>
      <c r="O26" s="191"/>
      <c r="P26" s="192"/>
      <c r="R26" s="194" t="str">
        <f>IFERROR(VLOOKUP($H26,wskaźniki_efektu!$B$21:$C$34,wskaźniki_efektu!$C$1-wskaźniki_efektu!$A$1,FALSE),"")</f>
        <v/>
      </c>
      <c r="S26" s="185" t="e">
        <f>VLOOKUP($B26,gminy_26[[nazwa gminy]:[kod gminy2]],2,FALSE)</f>
        <v>#N/A</v>
      </c>
      <c r="T26" s="185" t="e">
        <f>VLOOKUP($S26,gminy_26[],katalog_gmin_PL26!$F$1,FALSE)</f>
        <v>#N/A</v>
      </c>
    </row>
    <row r="27" spans="1:20" s="193" customFormat="1" ht="22.5" customHeight="1" x14ac:dyDescent="0.2">
      <c r="A27" s="185"/>
      <c r="B27" s="15"/>
      <c r="C27" s="15"/>
      <c r="D27" s="186"/>
      <c r="E27" s="187"/>
      <c r="F27" s="188"/>
      <c r="G27" s="188"/>
      <c r="H27" s="188"/>
      <c r="I27" s="189"/>
      <c r="J27" s="189"/>
      <c r="K27" s="190"/>
      <c r="L27" s="190"/>
      <c r="M27" s="190"/>
      <c r="N27" s="191"/>
      <c r="O27" s="191"/>
      <c r="P27" s="192"/>
      <c r="R27" s="194" t="str">
        <f>IFERROR(VLOOKUP($H27,wskaźniki_efektu!$B$21:$C$34,wskaźniki_efektu!$C$1-wskaźniki_efektu!$A$1,FALSE),"")</f>
        <v/>
      </c>
      <c r="S27" s="185" t="e">
        <f>VLOOKUP($B27,gminy_26[[nazwa gminy]:[kod gminy2]],2,FALSE)</f>
        <v>#N/A</v>
      </c>
      <c r="T27" s="185" t="e">
        <f>VLOOKUP($S27,gminy_26[],katalog_gmin_PL26!$F$1,FALSE)</f>
        <v>#N/A</v>
      </c>
    </row>
    <row r="28" spans="1:20" s="193" customFormat="1" ht="22.5" customHeight="1" x14ac:dyDescent="0.2">
      <c r="A28" s="185"/>
      <c r="B28" s="15"/>
      <c r="C28" s="15"/>
      <c r="D28" s="186"/>
      <c r="E28" s="187"/>
      <c r="F28" s="188"/>
      <c r="G28" s="188"/>
      <c r="H28" s="188"/>
      <c r="I28" s="189"/>
      <c r="J28" s="189"/>
      <c r="K28" s="190"/>
      <c r="L28" s="190"/>
      <c r="M28" s="190"/>
      <c r="N28" s="191"/>
      <c r="O28" s="191"/>
      <c r="P28" s="192"/>
      <c r="R28" s="194" t="str">
        <f>IFERROR(VLOOKUP($H28,wskaźniki_efektu!$B$21:$C$34,wskaźniki_efektu!$C$1-wskaźniki_efektu!$A$1,FALSE),"")</f>
        <v/>
      </c>
      <c r="S28" s="185" t="e">
        <f>VLOOKUP($B28,gminy_26[[nazwa gminy]:[kod gminy2]],2,FALSE)</f>
        <v>#N/A</v>
      </c>
      <c r="T28" s="185" t="e">
        <f>VLOOKUP($S28,gminy_26[],katalog_gmin_PL26!$F$1,FALSE)</f>
        <v>#N/A</v>
      </c>
    </row>
    <row r="29" spans="1:20" s="193" customFormat="1" ht="22.5" customHeight="1" x14ac:dyDescent="0.2">
      <c r="A29" s="185"/>
      <c r="B29" s="15"/>
      <c r="C29" s="15"/>
      <c r="D29" s="186"/>
      <c r="E29" s="187"/>
      <c r="F29" s="188"/>
      <c r="G29" s="188"/>
      <c r="H29" s="188"/>
      <c r="I29" s="189"/>
      <c r="J29" s="189"/>
      <c r="K29" s="190"/>
      <c r="L29" s="190"/>
      <c r="M29" s="190"/>
      <c r="N29" s="191"/>
      <c r="O29" s="191"/>
      <c r="P29" s="192"/>
      <c r="R29" s="194" t="str">
        <f>IFERROR(VLOOKUP($H29,wskaźniki_efektu!$B$21:$C$34,wskaźniki_efektu!$C$1-wskaźniki_efektu!$A$1,FALSE),"")</f>
        <v/>
      </c>
      <c r="S29" s="185" t="e">
        <f>VLOOKUP($B29,gminy_26[[nazwa gminy]:[kod gminy2]],2,FALSE)</f>
        <v>#N/A</v>
      </c>
      <c r="T29" s="185" t="e">
        <f>VLOOKUP($S29,gminy_26[],katalog_gmin_PL26!$F$1,FALSE)</f>
        <v>#N/A</v>
      </c>
    </row>
    <row r="30" spans="1:20" s="193" customFormat="1" ht="22.5" customHeight="1" x14ac:dyDescent="0.2">
      <c r="A30" s="185"/>
      <c r="B30" s="15"/>
      <c r="C30" s="15"/>
      <c r="D30" s="186"/>
      <c r="E30" s="187"/>
      <c r="F30" s="188"/>
      <c r="G30" s="188"/>
      <c r="H30" s="188"/>
      <c r="I30" s="189"/>
      <c r="J30" s="189"/>
      <c r="K30" s="190"/>
      <c r="L30" s="190"/>
      <c r="M30" s="190"/>
      <c r="N30" s="191"/>
      <c r="O30" s="191"/>
      <c r="P30" s="192"/>
      <c r="R30" s="194" t="str">
        <f>IFERROR(VLOOKUP($H30,wskaźniki_efektu!$B$21:$C$34,wskaźniki_efektu!$C$1-wskaźniki_efektu!$A$1,FALSE),"")</f>
        <v/>
      </c>
      <c r="S30" s="185" t="e">
        <f>VLOOKUP($B30,gminy_26[[nazwa gminy]:[kod gminy2]],2,FALSE)</f>
        <v>#N/A</v>
      </c>
      <c r="T30" s="185" t="e">
        <f>VLOOKUP($S30,gminy_26[],katalog_gmin_PL26!$F$1,FALSE)</f>
        <v>#N/A</v>
      </c>
    </row>
    <row r="31" spans="1:20" s="193" customFormat="1" ht="22.5" customHeight="1" x14ac:dyDescent="0.2">
      <c r="A31" s="185"/>
      <c r="B31" s="15"/>
      <c r="C31" s="15"/>
      <c r="D31" s="186"/>
      <c r="E31" s="187"/>
      <c r="F31" s="188"/>
      <c r="G31" s="188"/>
      <c r="H31" s="188"/>
      <c r="I31" s="189"/>
      <c r="J31" s="189"/>
      <c r="K31" s="190"/>
      <c r="L31" s="190"/>
      <c r="M31" s="190"/>
      <c r="N31" s="191"/>
      <c r="O31" s="191"/>
      <c r="P31" s="192"/>
      <c r="R31" s="194" t="str">
        <f>IFERROR(VLOOKUP($H31,wskaźniki_efektu!$B$21:$C$34,wskaźniki_efektu!$C$1-wskaźniki_efektu!$A$1,FALSE),"")</f>
        <v/>
      </c>
      <c r="S31" s="185" t="e">
        <f>VLOOKUP($B31,gminy_26[[nazwa gminy]:[kod gminy2]],2,FALSE)</f>
        <v>#N/A</v>
      </c>
      <c r="T31" s="185" t="e">
        <f>VLOOKUP($S31,gminy_26[],katalog_gmin_PL26!$F$1,FALSE)</f>
        <v>#N/A</v>
      </c>
    </row>
  </sheetData>
  <sheetProtection formatCells="0" formatRows="0" sort="0" autoFilter="0" pivotTables="0"/>
  <mergeCells count="14">
    <mergeCell ref="A7:A8"/>
    <mergeCell ref="B7:B8"/>
    <mergeCell ref="D7:D8"/>
    <mergeCell ref="E7:E8"/>
    <mergeCell ref="F7:F8"/>
    <mergeCell ref="R7:T7"/>
    <mergeCell ref="N7:N8"/>
    <mergeCell ref="O7:O8"/>
    <mergeCell ref="C7:C8"/>
    <mergeCell ref="I4:O4"/>
    <mergeCell ref="P7:P8"/>
    <mergeCell ref="G7:G8"/>
    <mergeCell ref="H7:J7"/>
    <mergeCell ref="K7:M7"/>
  </mergeCells>
  <phoneticPr fontId="22" type="noConversion"/>
  <conditionalFormatting sqref="B11:C31">
    <cfRule type="cellIs" dxfId="4" priority="2" operator="equal">
      <formula>0</formula>
    </cfRule>
  </conditionalFormatting>
  <conditionalFormatting sqref="K11:M31">
    <cfRule type="expression" dxfId="3" priority="1">
      <formula>$I11=0</formula>
    </cfRule>
  </conditionalFormatting>
  <dataValidations count="5">
    <dataValidation type="whole" operator="greaterThanOrEqual" allowBlank="1" showInputMessage="1" showErrorMessage="1" error="Proszę podać wartość liczbową!" sqref="I11:J31" xr:uid="{00000000-0002-0000-0500-000000000000}">
      <formula1>0</formula1>
    </dataValidation>
    <dataValidation type="decimal" operator="greaterThanOrEqual" allowBlank="1" showInputMessage="1" showErrorMessage="1" error="Proszę podać wartość liczbową!" sqref="N11:O31" xr:uid="{00000000-0002-0000-0500-000001000000}">
      <formula1>0</formula1>
    </dataValidation>
    <dataValidation type="list" operator="greaterThanOrEqual" allowBlank="1" showInputMessage="1" showErrorMessage="1" error="Proszę podać wartość liczbową!" sqref="H11:H31" xr:uid="{00000000-0002-0000-0500-000002000000}">
      <formula1>monit_ZSO</formula1>
    </dataValidation>
    <dataValidation operator="greaterThanOrEqual" allowBlank="1" showDropDown="1" showInputMessage="1" showErrorMessage="1" error="Proszę podać wartość liczbową!" sqref="R11:R31" xr:uid="{00000000-0002-0000-0500-000003000000}"/>
    <dataValidation operator="greaterThanOrEqual" allowBlank="1" showInputMessage="1" showErrorMessage="1" error="Proszę podać wartość liczbową!" sqref="K11:M31 G11:G31" xr:uid="{00000000-0002-0000-0500-000004000000}"/>
  </dataValidations>
  <pageMargins left="0.7" right="0.7" top="0.75" bottom="0.75" header="0.3" footer="0.3"/>
  <pageSetup paperSize="9" scale="38"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tabColor rgb="FF00B050"/>
    <pageSetUpPr fitToPage="1"/>
  </sheetPr>
  <dimension ref="A1:AE18"/>
  <sheetViews>
    <sheetView zoomScale="90" zoomScaleNormal="90" workbookViewId="0">
      <pane xSplit="3" ySplit="8" topLeftCell="D9" activePane="bottomRight" state="frozen"/>
      <selection pane="topRight" activeCell="D1" sqref="D1"/>
      <selection pane="bottomLeft" activeCell="A8" sqref="A8"/>
      <selection pane="bottomRight" activeCell="E10" sqref="E10"/>
    </sheetView>
  </sheetViews>
  <sheetFormatPr defaultColWidth="9.140625" defaultRowHeight="12" x14ac:dyDescent="0.2"/>
  <cols>
    <col min="1" max="1" width="4.42578125" style="1" customWidth="1"/>
    <col min="2" max="2" width="12.5703125" style="1" customWidth="1"/>
    <col min="3" max="3" width="13.140625" style="1" customWidth="1"/>
    <col min="4" max="4" width="37.7109375" style="1" customWidth="1"/>
    <col min="5" max="5" width="29.85546875" style="1" customWidth="1"/>
    <col min="6" max="10" width="15.140625" style="1" customWidth="1"/>
    <col min="11" max="11" width="12.85546875" style="1" customWidth="1"/>
    <col min="12" max="12" width="23" style="1" customWidth="1"/>
    <col min="13" max="13" width="41.28515625" style="1" customWidth="1"/>
    <col min="14" max="30" width="9.140625" style="1"/>
    <col min="31" max="31" width="7" style="1" hidden="1" customWidth="1"/>
    <col min="32" max="16384" width="9.140625" style="1"/>
  </cols>
  <sheetData>
    <row r="1" spans="1:31" ht="15.75" thickBot="1" x14ac:dyDescent="0.25">
      <c r="A1" s="111" t="s">
        <v>449</v>
      </c>
    </row>
    <row r="2" spans="1:31" ht="16.5" thickBot="1" x14ac:dyDescent="0.25">
      <c r="D2" s="52" t="s">
        <v>322</v>
      </c>
      <c r="E2" s="53">
        <f>IFERROR(VLOOKUP(tabela_informacyjna_dla_JST!$D$9,gminy_26[],katalog_gmin_PL26!$P$1,FALSE),"brak nazwy gminy")</f>
        <v>1</v>
      </c>
      <c r="F2" s="54"/>
      <c r="G2" s="54"/>
      <c r="H2" s="54"/>
      <c r="I2" s="54"/>
      <c r="J2" s="54"/>
      <c r="K2" s="54"/>
    </row>
    <row r="3" spans="1:31" ht="15" x14ac:dyDescent="0.2">
      <c r="F3" s="223" t="s">
        <v>332</v>
      </c>
      <c r="G3" s="223"/>
      <c r="H3" s="223"/>
      <c r="I3" s="223"/>
      <c r="J3" s="223"/>
      <c r="K3" s="223"/>
      <c r="L3" s="223"/>
    </row>
    <row r="4" spans="1:31" ht="15" x14ac:dyDescent="0.2">
      <c r="A4" s="12" t="s">
        <v>321</v>
      </c>
      <c r="D4" s="13"/>
      <c r="E4" s="13"/>
      <c r="F4" s="55">
        <f t="shared" ref="F4:J4" si="0">SUM(F9:F18)</f>
        <v>8</v>
      </c>
      <c r="G4" s="55">
        <f t="shared" si="0"/>
        <v>13</v>
      </c>
      <c r="H4" s="55">
        <f t="shared" si="0"/>
        <v>1</v>
      </c>
      <c r="I4" s="55">
        <f t="shared" si="0"/>
        <v>0</v>
      </c>
      <c r="J4" s="55">
        <f t="shared" si="0"/>
        <v>62490</v>
      </c>
      <c r="K4" s="56">
        <f>SUM(K9:K18)</f>
        <v>9000</v>
      </c>
      <c r="L4" s="56">
        <f>SUM(L9:L18)</f>
        <v>0</v>
      </c>
      <c r="M4" s="13"/>
    </row>
    <row r="5" spans="1:31" x14ac:dyDescent="0.2">
      <c r="A5" s="211" t="s">
        <v>7</v>
      </c>
      <c r="B5" s="211" t="s">
        <v>26</v>
      </c>
      <c r="C5" s="211" t="s">
        <v>22</v>
      </c>
      <c r="D5" s="211" t="s">
        <v>23</v>
      </c>
      <c r="E5" s="211" t="s">
        <v>496</v>
      </c>
      <c r="F5" s="218" t="s">
        <v>333</v>
      </c>
      <c r="G5" s="218"/>
      <c r="H5" s="218"/>
      <c r="I5" s="218"/>
      <c r="J5" s="218"/>
      <c r="K5" s="211" t="s">
        <v>49</v>
      </c>
      <c r="L5" s="213" t="s">
        <v>489</v>
      </c>
      <c r="M5" s="211" t="s">
        <v>490</v>
      </c>
    </row>
    <row r="6" spans="1:31" ht="61.5" customHeight="1" x14ac:dyDescent="0.2">
      <c r="A6" s="212"/>
      <c r="B6" s="212"/>
      <c r="C6" s="212"/>
      <c r="D6" s="212"/>
      <c r="E6" s="212"/>
      <c r="F6" s="33" t="s">
        <v>324</v>
      </c>
      <c r="G6" s="33" t="s">
        <v>323</v>
      </c>
      <c r="H6" s="33" t="s">
        <v>325</v>
      </c>
      <c r="I6" s="33" t="s">
        <v>326</v>
      </c>
      <c r="J6" s="33" t="s">
        <v>327</v>
      </c>
      <c r="K6" s="222"/>
      <c r="L6" s="224"/>
      <c r="M6" s="222"/>
    </row>
    <row r="7" spans="1:31" x14ac:dyDescent="0.2">
      <c r="A7" s="16">
        <v>1</v>
      </c>
      <c r="B7" s="16">
        <f>A7+1</f>
        <v>2</v>
      </c>
      <c r="C7" s="16">
        <f t="shared" ref="C7:M7" si="1">B7+1</f>
        <v>3</v>
      </c>
      <c r="D7" s="16">
        <f t="shared" si="1"/>
        <v>4</v>
      </c>
      <c r="E7" s="16">
        <f t="shared" si="1"/>
        <v>5</v>
      </c>
      <c r="F7" s="16">
        <f t="shared" ref="F7" si="2">E7+1</f>
        <v>6</v>
      </c>
      <c r="G7" s="16">
        <f t="shared" ref="G7" si="3">F7+1</f>
        <v>7</v>
      </c>
      <c r="H7" s="16">
        <f t="shared" ref="H7" si="4">G7+1</f>
        <v>8</v>
      </c>
      <c r="I7" s="16">
        <f t="shared" ref="I7" si="5">H7+1</f>
        <v>9</v>
      </c>
      <c r="J7" s="16">
        <f t="shared" ref="J7" si="6">I7+1</f>
        <v>10</v>
      </c>
      <c r="K7" s="16">
        <f t="shared" si="1"/>
        <v>11</v>
      </c>
      <c r="L7" s="16">
        <f t="shared" si="1"/>
        <v>12</v>
      </c>
      <c r="M7" s="16">
        <f t="shared" si="1"/>
        <v>13</v>
      </c>
    </row>
    <row r="8" spans="1:31" ht="72" x14ac:dyDescent="0.2">
      <c r="A8" s="124"/>
      <c r="B8" s="88" t="s">
        <v>55</v>
      </c>
      <c r="C8" s="88" t="s">
        <v>34</v>
      </c>
      <c r="D8" s="88" t="s">
        <v>34</v>
      </c>
      <c r="E8" s="125" t="s">
        <v>27</v>
      </c>
      <c r="F8" s="125" t="s">
        <v>328</v>
      </c>
      <c r="G8" s="125" t="s">
        <v>30</v>
      </c>
      <c r="H8" s="125" t="s">
        <v>329</v>
      </c>
      <c r="I8" s="125" t="s">
        <v>330</v>
      </c>
      <c r="J8" s="125" t="s">
        <v>331</v>
      </c>
      <c r="K8" s="126" t="s">
        <v>21</v>
      </c>
      <c r="L8" s="126" t="s">
        <v>29</v>
      </c>
      <c r="M8" s="126" t="s">
        <v>488</v>
      </c>
      <c r="AE8" s="32" t="s">
        <v>48</v>
      </c>
    </row>
    <row r="9" spans="1:31" ht="23.1" customHeight="1" x14ac:dyDescent="0.2">
      <c r="A9" s="3">
        <v>1</v>
      </c>
      <c r="B9" s="15" t="str">
        <f>tabela_informacyjna_dla_JST!$C$9</f>
        <v>Górno</v>
      </c>
      <c r="C9" s="51" t="str">
        <f>IFERROR(CONCATENATE(tabela_informacyjna_dla_JST!$D$7,"_EE"),"brak nazwy gminy")</f>
        <v>PL2602_EE</v>
      </c>
      <c r="D9" s="22" t="str">
        <f>IFERROR(VLOOKUP($C9,kat_zadania[],katalogi!$N$1-katalogi!$L$1,FALSE),"brak nazwy gminy")</f>
        <v>Prowadzenie działań promocyjnych i edukacyjnych (ulotki, imprezy, akcje szkolne, audycje, konferencje) oraz informacyjnych i szkoleniowych</v>
      </c>
      <c r="E9" s="115" t="s">
        <v>571</v>
      </c>
      <c r="F9" s="115"/>
      <c r="G9" s="115">
        <v>9</v>
      </c>
      <c r="H9" s="115"/>
      <c r="I9" s="115"/>
      <c r="J9" s="115"/>
      <c r="K9" s="113"/>
      <c r="L9" s="113"/>
      <c r="M9" s="114"/>
      <c r="AE9" s="1" t="b">
        <f>OR(NOT(ISBLANK(E9)),NOT(ISBLANK(J9)))</f>
        <v>1</v>
      </c>
    </row>
    <row r="10" spans="1:31" ht="23.1" customHeight="1" x14ac:dyDescent="0.2">
      <c r="A10" s="3">
        <v>2</v>
      </c>
      <c r="B10" s="15" t="str">
        <f>tabela_informacyjna_dla_JST!$C$9</f>
        <v>Górno</v>
      </c>
      <c r="C10" s="51" t="str">
        <f>IFERROR(CONCATENATE(tabela_informacyjna_dla_JST!$D$7,"_EE"),"brak nazwy gminy")</f>
        <v>PL2602_EE</v>
      </c>
      <c r="D10" s="22" t="str">
        <f>IFERROR(VLOOKUP($C10,kat_zadania[],katalogi!$N$1-katalogi!$L$1,FALSE),"brak nazwy gminy")</f>
        <v>Prowadzenie działań promocyjnych i edukacyjnych (ulotki, imprezy, akcje szkolne, audycje, konferencje) oraz informacyjnych i szkoleniowych</v>
      </c>
      <c r="E10" s="115" t="s">
        <v>572</v>
      </c>
      <c r="F10" s="115"/>
      <c r="G10" s="115">
        <v>1</v>
      </c>
      <c r="H10" s="115"/>
      <c r="I10" s="115"/>
      <c r="J10" s="115"/>
      <c r="K10" s="113"/>
      <c r="L10" s="113"/>
      <c r="M10" s="114"/>
      <c r="AE10" s="1" t="b">
        <f t="shared" ref="AE10:AE18" si="7">OR(NOT(ISBLANK(E10)),NOT(ISBLANK(J10)))</f>
        <v>1</v>
      </c>
    </row>
    <row r="11" spans="1:31" ht="23.1" customHeight="1" x14ac:dyDescent="0.2">
      <c r="A11" s="3">
        <v>3</v>
      </c>
      <c r="B11" s="15" t="str">
        <f>tabela_informacyjna_dla_JST!$C$9</f>
        <v>Górno</v>
      </c>
      <c r="C11" s="51" t="str">
        <f>IFERROR(CONCATENATE(tabela_informacyjna_dla_JST!$D$7,"_EE"),"brak nazwy gminy")</f>
        <v>PL2602_EE</v>
      </c>
      <c r="D11" s="22" t="str">
        <f>IFERROR(VLOOKUP($C11,kat_zadania[],katalogi!$N$1-katalogi!$L$1,FALSE),"brak nazwy gminy")</f>
        <v>Prowadzenie działań promocyjnych i edukacyjnych (ulotki, imprezy, akcje szkolne, audycje, konferencje) oraz informacyjnych i szkoleniowych</v>
      </c>
      <c r="E11" s="115" t="s">
        <v>573</v>
      </c>
      <c r="F11" s="115"/>
      <c r="G11" s="115">
        <v>1</v>
      </c>
      <c r="H11" s="115"/>
      <c r="I11" s="115"/>
      <c r="J11" s="115">
        <v>1200</v>
      </c>
      <c r="K11" s="113">
        <v>1500</v>
      </c>
      <c r="L11" s="113"/>
      <c r="M11" s="114" t="s">
        <v>577</v>
      </c>
      <c r="AE11" s="1" t="b">
        <f t="shared" si="7"/>
        <v>1</v>
      </c>
    </row>
    <row r="12" spans="1:31" ht="23.1" customHeight="1" x14ac:dyDescent="0.2">
      <c r="A12" s="3">
        <v>4</v>
      </c>
      <c r="B12" s="15" t="str">
        <f>tabela_informacyjna_dla_JST!$C$9</f>
        <v>Górno</v>
      </c>
      <c r="C12" s="51" t="str">
        <f>IFERROR(CONCATENATE(tabela_informacyjna_dla_JST!$D$7,"_EE"),"brak nazwy gminy")</f>
        <v>PL2602_EE</v>
      </c>
      <c r="D12" s="22" t="str">
        <f>IFERROR(VLOOKUP($C12,kat_zadania[],katalogi!$N$1-katalogi!$L$1,FALSE),"brak nazwy gminy")</f>
        <v>Prowadzenie działań promocyjnych i edukacyjnych (ulotki, imprezy, akcje szkolne, audycje, konferencje) oraz informacyjnych i szkoleniowych</v>
      </c>
      <c r="E12" s="196" t="s">
        <v>578</v>
      </c>
      <c r="F12" s="115"/>
      <c r="G12" s="115">
        <v>1</v>
      </c>
      <c r="H12" s="115"/>
      <c r="I12" s="115"/>
      <c r="J12" s="115">
        <v>10000</v>
      </c>
      <c r="K12" s="113">
        <v>1500</v>
      </c>
      <c r="L12" s="113"/>
      <c r="M12" s="114" t="s">
        <v>577</v>
      </c>
      <c r="AE12" s="1" t="b">
        <f t="shared" si="7"/>
        <v>1</v>
      </c>
    </row>
    <row r="13" spans="1:31" ht="23.1" customHeight="1" x14ac:dyDescent="0.2">
      <c r="A13" s="3">
        <v>5</v>
      </c>
      <c r="B13" s="15" t="str">
        <f>tabela_informacyjna_dla_JST!$C$9</f>
        <v>Górno</v>
      </c>
      <c r="C13" s="51" t="str">
        <f>IFERROR(CONCATENATE(tabela_informacyjna_dla_JST!$D$7,"_EE"),"brak nazwy gminy")</f>
        <v>PL2602_EE</v>
      </c>
      <c r="D13" s="22" t="str">
        <f>IFERROR(VLOOKUP($C13,kat_zadania[],katalogi!$N$1-katalogi!$L$1,FALSE),"brak nazwy gminy")</f>
        <v>Prowadzenie działań promocyjnych i edukacyjnych (ulotki, imprezy, akcje szkolne, audycje, konferencje) oraz informacyjnych i szkoleniowych</v>
      </c>
      <c r="E13" s="115" t="s">
        <v>574</v>
      </c>
      <c r="F13" s="115">
        <v>8</v>
      </c>
      <c r="G13" s="115"/>
      <c r="H13" s="115">
        <v>1</v>
      </c>
      <c r="I13" s="115"/>
      <c r="J13" s="115">
        <v>1290</v>
      </c>
      <c r="K13" s="113"/>
      <c r="L13" s="113"/>
      <c r="M13" s="114"/>
      <c r="AE13" s="1" t="b">
        <f t="shared" si="7"/>
        <v>1</v>
      </c>
    </row>
    <row r="14" spans="1:31" ht="58.5" customHeight="1" x14ac:dyDescent="0.2">
      <c r="A14" s="3">
        <v>6</v>
      </c>
      <c r="B14" s="15" t="str">
        <f>tabela_informacyjna_dla_JST!$C$9</f>
        <v>Górno</v>
      </c>
      <c r="C14" s="51" t="str">
        <f>IFERROR(CONCATENATE(tabela_informacyjna_dla_JST!$D$7,"_EE"),"brak nazwy gminy")</f>
        <v>PL2602_EE</v>
      </c>
      <c r="D14" s="22" t="str">
        <f>IFERROR(VLOOKUP($C14,kat_zadania[],katalogi!$N$1-katalogi!$L$1,FALSE),"brak nazwy gminy")</f>
        <v>Prowadzenie działań promocyjnych i edukacyjnych (ulotki, imprezy, akcje szkolne, audycje, konferencje) oraz informacyjnych i szkoleniowych</v>
      </c>
      <c r="E14" s="196" t="s">
        <v>579</v>
      </c>
      <c r="F14" s="115"/>
      <c r="G14" s="196">
        <v>1</v>
      </c>
      <c r="H14" s="196"/>
      <c r="I14" s="196"/>
      <c r="J14" s="196">
        <v>50000</v>
      </c>
      <c r="K14" s="113">
        <v>6000</v>
      </c>
      <c r="L14" s="113"/>
      <c r="M14" s="114" t="s">
        <v>577</v>
      </c>
      <c r="AE14" s="1" t="b">
        <f t="shared" si="7"/>
        <v>1</v>
      </c>
    </row>
    <row r="15" spans="1:31" ht="23.1" customHeight="1" x14ac:dyDescent="0.2">
      <c r="A15" s="3">
        <v>7</v>
      </c>
      <c r="B15" s="15" t="str">
        <f>tabela_informacyjna_dla_JST!$C$9</f>
        <v>Górno</v>
      </c>
      <c r="C15" s="51" t="str">
        <f>IFERROR(CONCATENATE(tabela_informacyjna_dla_JST!$D$7,"_EE"),"brak nazwy gminy")</f>
        <v>PL2602_EE</v>
      </c>
      <c r="D15" s="22" t="str">
        <f>IFERROR(VLOOKUP($C15,kat_zadania[],katalogi!$N$1-katalogi!$L$1,FALSE),"brak nazwy gminy")</f>
        <v>Prowadzenie działań promocyjnych i edukacyjnych (ulotki, imprezy, akcje szkolne, audycje, konferencje) oraz informacyjnych i szkoleniowych</v>
      </c>
      <c r="E15" s="115"/>
      <c r="F15" s="115"/>
      <c r="G15" s="115"/>
      <c r="H15" s="115"/>
      <c r="I15" s="115"/>
      <c r="J15" s="115"/>
      <c r="K15" s="113"/>
      <c r="L15" s="113"/>
      <c r="M15" s="114"/>
      <c r="AE15" s="1" t="b">
        <f t="shared" si="7"/>
        <v>0</v>
      </c>
    </row>
    <row r="16" spans="1:31" ht="23.1" customHeight="1" x14ac:dyDescent="0.2">
      <c r="A16" s="3">
        <v>8</v>
      </c>
      <c r="B16" s="15" t="str">
        <f>tabela_informacyjna_dla_JST!$C$9</f>
        <v>Górno</v>
      </c>
      <c r="C16" s="51" t="str">
        <f>IFERROR(CONCATENATE(tabela_informacyjna_dla_JST!$D$7,"_EE"),"brak nazwy gminy")</f>
        <v>PL2602_EE</v>
      </c>
      <c r="D16" s="22" t="str">
        <f>IFERROR(VLOOKUP($C16,kat_zadania[],katalogi!$N$1-katalogi!$L$1,FALSE),"brak nazwy gminy")</f>
        <v>Prowadzenie działań promocyjnych i edukacyjnych (ulotki, imprezy, akcje szkolne, audycje, konferencje) oraz informacyjnych i szkoleniowych</v>
      </c>
      <c r="E16" s="115"/>
      <c r="F16" s="115"/>
      <c r="G16" s="115"/>
      <c r="H16" s="115"/>
      <c r="I16" s="115"/>
      <c r="J16" s="115"/>
      <c r="K16" s="113"/>
      <c r="L16" s="113"/>
      <c r="M16" s="114"/>
      <c r="AE16" s="1" t="b">
        <f t="shared" si="7"/>
        <v>0</v>
      </c>
    </row>
    <row r="17" spans="1:31" ht="23.1" customHeight="1" x14ac:dyDescent="0.2">
      <c r="A17" s="3">
        <v>9</v>
      </c>
      <c r="B17" s="15" t="str">
        <f>tabela_informacyjna_dla_JST!$C$9</f>
        <v>Górno</v>
      </c>
      <c r="C17" s="51" t="str">
        <f>IFERROR(CONCATENATE(tabela_informacyjna_dla_JST!$D$7,"_EE"),"brak nazwy gminy")</f>
        <v>PL2602_EE</v>
      </c>
      <c r="D17" s="22" t="str">
        <f>IFERROR(VLOOKUP($C17,kat_zadania[],katalogi!$N$1-katalogi!$L$1,FALSE),"brak nazwy gminy")</f>
        <v>Prowadzenie działań promocyjnych i edukacyjnych (ulotki, imprezy, akcje szkolne, audycje, konferencje) oraz informacyjnych i szkoleniowych</v>
      </c>
      <c r="E17" s="115"/>
      <c r="F17" s="115"/>
      <c r="G17" s="115"/>
      <c r="H17" s="115"/>
      <c r="I17" s="115"/>
      <c r="J17" s="115"/>
      <c r="K17" s="113"/>
      <c r="L17" s="113"/>
      <c r="M17" s="114"/>
      <c r="AE17" s="1" t="b">
        <f t="shared" si="7"/>
        <v>0</v>
      </c>
    </row>
    <row r="18" spans="1:31" ht="23.1" customHeight="1" x14ac:dyDescent="0.2">
      <c r="A18" s="3">
        <v>10</v>
      </c>
      <c r="B18" s="15" t="str">
        <f>tabela_informacyjna_dla_JST!$C$9</f>
        <v>Górno</v>
      </c>
      <c r="C18" s="51" t="str">
        <f>IFERROR(CONCATENATE(tabela_informacyjna_dla_JST!$D$7,"_EE"),"brak nazwy gminy")</f>
        <v>PL2602_EE</v>
      </c>
      <c r="D18" s="22" t="str">
        <f>IFERROR(VLOOKUP($C18,kat_zadania[],katalogi!$N$1-katalogi!$L$1,FALSE),"brak nazwy gminy")</f>
        <v>Prowadzenie działań promocyjnych i edukacyjnych (ulotki, imprezy, akcje szkolne, audycje, konferencje) oraz informacyjnych i szkoleniowych</v>
      </c>
      <c r="E18" s="115"/>
      <c r="F18" s="115"/>
      <c r="G18" s="115"/>
      <c r="H18" s="115"/>
      <c r="I18" s="115"/>
      <c r="J18" s="115"/>
      <c r="K18" s="113"/>
      <c r="L18" s="113"/>
      <c r="M18" s="114"/>
      <c r="AE18" s="1" t="b">
        <f t="shared" si="7"/>
        <v>0</v>
      </c>
    </row>
  </sheetData>
  <sheetProtection formatCells="0" formatRows="0" sort="0" autoFilter="0" pivotTables="0"/>
  <mergeCells count="10">
    <mergeCell ref="M5:M6"/>
    <mergeCell ref="F3:L3"/>
    <mergeCell ref="A5:A6"/>
    <mergeCell ref="B5:B6"/>
    <mergeCell ref="C5:C6"/>
    <mergeCell ref="D5:D6"/>
    <mergeCell ref="E5:E6"/>
    <mergeCell ref="F5:J5"/>
    <mergeCell ref="K5:K6"/>
    <mergeCell ref="L5:L6"/>
  </mergeCells>
  <conditionalFormatting sqref="B9:B18">
    <cfRule type="cellIs" dxfId="2" priority="1" operator="equal">
      <formula>0</formula>
    </cfRule>
  </conditionalFormatting>
  <dataValidations count="2">
    <dataValidation type="decimal" operator="greaterThanOrEqual" allowBlank="1" showInputMessage="1" showErrorMessage="1" error="Proszę podać wartość liczbową!" sqref="K9:L18" xr:uid="{00000000-0002-0000-0700-000000000000}">
      <formula1>0</formula1>
    </dataValidation>
    <dataValidation type="whole" operator="greaterThanOrEqual" allowBlank="1" showInputMessage="1" showErrorMessage="1" error="Proszę podać wartość liczbową!" sqref="F9:J18" xr:uid="{00000000-0002-0000-0700-000001000000}">
      <formula1>0</formula1>
    </dataValidation>
  </dataValidations>
  <pageMargins left="0.7" right="0.7" top="0.75" bottom="0.75" header="0.3" footer="0.3"/>
  <pageSetup paperSize="9" scale="53"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I22"/>
  <sheetViews>
    <sheetView zoomScale="90" zoomScaleNormal="90" workbookViewId="0">
      <pane xSplit="3" ySplit="12" topLeftCell="D13" activePane="bottomRight" state="frozen"/>
      <selection pane="topRight" activeCell="D1" sqref="D1"/>
      <selection pane="bottomLeft" activeCell="A8" sqref="A8"/>
      <selection pane="bottomRight" activeCell="G27" sqref="G27"/>
    </sheetView>
  </sheetViews>
  <sheetFormatPr defaultColWidth="9.140625" defaultRowHeight="12" x14ac:dyDescent="0.2"/>
  <cols>
    <col min="1" max="1" width="4.42578125" style="1" customWidth="1"/>
    <col min="2" max="2" width="12.5703125" style="1" customWidth="1"/>
    <col min="3" max="3" width="13.140625" style="1" customWidth="1"/>
    <col min="4" max="4" width="37.7109375" style="1" customWidth="1"/>
    <col min="5" max="5" width="16" style="1" customWidth="1"/>
    <col min="6" max="6" width="18.140625" style="1" customWidth="1"/>
    <col min="7" max="7" width="14.5703125" style="1" customWidth="1"/>
    <col min="8" max="8" width="17.7109375" style="1" customWidth="1"/>
    <col min="9" max="10" width="9.85546875" style="1" customWidth="1"/>
    <col min="11" max="11" width="11.7109375" style="1" customWidth="1"/>
    <col min="12" max="12" width="14.5703125" style="1" customWidth="1"/>
    <col min="13" max="13" width="16.7109375" style="1" customWidth="1"/>
    <col min="14" max="15" width="11.42578125" style="1" customWidth="1"/>
    <col min="16" max="16" width="11.85546875" style="1" customWidth="1"/>
    <col min="17" max="17" width="15.140625" style="1" customWidth="1"/>
    <col min="18" max="34" width="9.140625" style="1"/>
    <col min="35" max="35" width="7" style="1" hidden="1" customWidth="1"/>
    <col min="36" max="16384" width="9.140625" style="1"/>
  </cols>
  <sheetData>
    <row r="1" spans="1:35" ht="15.75" thickBot="1" x14ac:dyDescent="0.25">
      <c r="A1" s="121" t="s">
        <v>473</v>
      </c>
    </row>
    <row r="2" spans="1:35" ht="19.5" thickBot="1" x14ac:dyDescent="0.25">
      <c r="D2" s="58" t="s">
        <v>335</v>
      </c>
      <c r="E2" s="122">
        <f>IFERROR(VLOOKUP(tabela_informacyjna_dla_JST!$D$9,gminy_26[],katalog_gmin_PL26!$Q$1,FALSE),"brak nazwy gminy")</f>
        <v>5</v>
      </c>
      <c r="F2" s="54"/>
      <c r="H2" s="54"/>
      <c r="I2" s="54"/>
      <c r="J2" s="54"/>
      <c r="K2" s="54"/>
      <c r="L2" s="54"/>
      <c r="M2" s="54"/>
      <c r="N2" s="54"/>
      <c r="O2" s="54"/>
      <c r="P2" s="54"/>
      <c r="Q2" s="54"/>
    </row>
    <row r="5" spans="1:35" ht="15" x14ac:dyDescent="0.2">
      <c r="A5" s="12" t="s">
        <v>334</v>
      </c>
    </row>
    <row r="6" spans="1:35" ht="15" x14ac:dyDescent="0.2">
      <c r="G6" s="215" t="s">
        <v>332</v>
      </c>
      <c r="H6" s="216"/>
      <c r="I6" s="216"/>
      <c r="J6" s="216"/>
      <c r="K6" s="216"/>
      <c r="L6" s="216"/>
      <c r="M6" s="216"/>
      <c r="N6" s="216"/>
      <c r="O6" s="216"/>
      <c r="P6" s="216"/>
      <c r="Q6" s="217"/>
    </row>
    <row r="7" spans="1:35" ht="19.899999999999999" customHeight="1" x14ac:dyDescent="0.2">
      <c r="A7" s="12"/>
      <c r="D7" s="13"/>
      <c r="E7" s="13"/>
      <c r="F7" s="13"/>
      <c r="G7" s="57">
        <f>SUM(G13:G22)</f>
        <v>20</v>
      </c>
      <c r="H7" s="55">
        <f>SUM(H13:H22)</f>
        <v>20</v>
      </c>
      <c r="I7" s="55">
        <f t="shared" ref="I7:Q7" si="0">SUM(I13:I22)</f>
        <v>0</v>
      </c>
      <c r="J7" s="55">
        <f t="shared" si="0"/>
        <v>0</v>
      </c>
      <c r="K7" s="55">
        <f t="shared" si="0"/>
        <v>0</v>
      </c>
      <c r="L7" s="55">
        <f t="shared" si="0"/>
        <v>0</v>
      </c>
      <c r="M7" s="55">
        <f t="shared" si="0"/>
        <v>0</v>
      </c>
      <c r="N7" s="55">
        <f t="shared" si="0"/>
        <v>0</v>
      </c>
      <c r="O7" s="55">
        <f t="shared" si="0"/>
        <v>0</v>
      </c>
      <c r="P7" s="55">
        <f t="shared" si="0"/>
        <v>0</v>
      </c>
      <c r="Q7" s="55">
        <f t="shared" si="0"/>
        <v>0</v>
      </c>
    </row>
    <row r="8" spans="1:35" ht="24" customHeight="1" x14ac:dyDescent="0.2">
      <c r="A8" s="218" t="s">
        <v>7</v>
      </c>
      <c r="B8" s="218" t="s">
        <v>26</v>
      </c>
      <c r="C8" s="218" t="s">
        <v>22</v>
      </c>
      <c r="D8" s="218" t="s">
        <v>23</v>
      </c>
      <c r="E8" s="211" t="s">
        <v>360</v>
      </c>
      <c r="F8" s="211" t="s">
        <v>493</v>
      </c>
      <c r="G8" s="211" t="s">
        <v>336</v>
      </c>
      <c r="H8" s="218" t="s">
        <v>454</v>
      </c>
      <c r="I8" s="218"/>
      <c r="J8" s="218"/>
      <c r="K8" s="218"/>
      <c r="L8" s="218"/>
      <c r="M8" s="218"/>
      <c r="N8" s="218"/>
      <c r="O8" s="218"/>
      <c r="P8" s="218"/>
      <c r="Q8" s="218"/>
    </row>
    <row r="9" spans="1:35" ht="45.6" customHeight="1" x14ac:dyDescent="0.2">
      <c r="A9" s="218"/>
      <c r="B9" s="218"/>
      <c r="C9" s="218"/>
      <c r="D9" s="218"/>
      <c r="E9" s="225"/>
      <c r="F9" s="212"/>
      <c r="G9" s="225"/>
      <c r="H9" s="226" t="s">
        <v>337</v>
      </c>
      <c r="I9" s="227"/>
      <c r="J9" s="227"/>
      <c r="K9" s="227"/>
      <c r="L9" s="228"/>
      <c r="M9" s="229" t="s">
        <v>338</v>
      </c>
      <c r="N9" s="230"/>
      <c r="O9" s="230"/>
      <c r="P9" s="230"/>
      <c r="Q9" s="231"/>
    </row>
    <row r="10" spans="1:35" ht="36" x14ac:dyDescent="0.2">
      <c r="A10" s="218"/>
      <c r="B10" s="218"/>
      <c r="C10" s="218"/>
      <c r="D10" s="218"/>
      <c r="E10" s="212"/>
      <c r="F10" s="34" t="s">
        <v>361</v>
      </c>
      <c r="G10" s="222"/>
      <c r="H10" s="128" t="s">
        <v>476</v>
      </c>
      <c r="I10" s="128" t="s">
        <v>351</v>
      </c>
      <c r="J10" s="128" t="s">
        <v>352</v>
      </c>
      <c r="K10" s="128" t="s">
        <v>353</v>
      </c>
      <c r="L10" s="128" t="s">
        <v>354</v>
      </c>
      <c r="M10" s="129" t="s">
        <v>476</v>
      </c>
      <c r="N10" s="129" t="s">
        <v>351</v>
      </c>
      <c r="O10" s="129" t="s">
        <v>352</v>
      </c>
      <c r="P10" s="129" t="s">
        <v>353</v>
      </c>
      <c r="Q10" s="129" t="s">
        <v>354</v>
      </c>
    </row>
    <row r="11" spans="1:35" x14ac:dyDescent="0.2">
      <c r="A11" s="16">
        <v>1</v>
      </c>
      <c r="B11" s="16">
        <f>A11+1</f>
        <v>2</v>
      </c>
      <c r="C11" s="16">
        <f t="shared" ref="C11:Q11" si="1">B11+1</f>
        <v>3</v>
      </c>
      <c r="D11" s="16">
        <f t="shared" si="1"/>
        <v>4</v>
      </c>
      <c r="E11" s="16">
        <f t="shared" si="1"/>
        <v>5</v>
      </c>
      <c r="F11" s="16">
        <f t="shared" si="1"/>
        <v>6</v>
      </c>
      <c r="G11" s="16">
        <f t="shared" si="1"/>
        <v>7</v>
      </c>
      <c r="H11" s="16">
        <f t="shared" si="1"/>
        <v>8</v>
      </c>
      <c r="I11" s="16">
        <f t="shared" si="1"/>
        <v>9</v>
      </c>
      <c r="J11" s="16">
        <f t="shared" si="1"/>
        <v>10</v>
      </c>
      <c r="K11" s="16">
        <f t="shared" si="1"/>
        <v>11</v>
      </c>
      <c r="L11" s="16">
        <f t="shared" si="1"/>
        <v>12</v>
      </c>
      <c r="M11" s="16">
        <f t="shared" si="1"/>
        <v>13</v>
      </c>
      <c r="N11" s="16">
        <f t="shared" si="1"/>
        <v>14</v>
      </c>
      <c r="O11" s="16">
        <f t="shared" si="1"/>
        <v>15</v>
      </c>
      <c r="P11" s="16">
        <f t="shared" si="1"/>
        <v>16</v>
      </c>
      <c r="Q11" s="16">
        <f t="shared" si="1"/>
        <v>17</v>
      </c>
    </row>
    <row r="12" spans="1:35" ht="72" x14ac:dyDescent="0.2">
      <c r="A12" s="124"/>
      <c r="B12" s="88" t="s">
        <v>55</v>
      </c>
      <c r="C12" s="88" t="s">
        <v>34</v>
      </c>
      <c r="D12" s="88" t="s">
        <v>34</v>
      </c>
      <c r="E12" s="125" t="s">
        <v>491</v>
      </c>
      <c r="F12" s="125" t="s">
        <v>492</v>
      </c>
      <c r="G12" s="88" t="s">
        <v>34</v>
      </c>
      <c r="H12" s="127" t="s">
        <v>355</v>
      </c>
      <c r="I12" s="125" t="s">
        <v>356</v>
      </c>
      <c r="J12" s="125" t="s">
        <v>357</v>
      </c>
      <c r="K12" s="125" t="s">
        <v>358</v>
      </c>
      <c r="L12" s="125" t="s">
        <v>359</v>
      </c>
      <c r="M12" s="127" t="s">
        <v>355</v>
      </c>
      <c r="N12" s="125" t="s">
        <v>356</v>
      </c>
      <c r="O12" s="125" t="s">
        <v>357</v>
      </c>
      <c r="P12" s="125" t="s">
        <v>358</v>
      </c>
      <c r="Q12" s="125" t="s">
        <v>359</v>
      </c>
      <c r="AI12" s="32" t="s">
        <v>48</v>
      </c>
    </row>
    <row r="13" spans="1:35" ht="23.1" customHeight="1" x14ac:dyDescent="0.2">
      <c r="A13" s="3">
        <v>1</v>
      </c>
      <c r="B13" s="15" t="str">
        <f>tabela_informacyjna_dla_JST!$C$9</f>
        <v>Górno</v>
      </c>
      <c r="C13" s="51" t="str">
        <f>IFERROR(CONCATENATE(tabela_informacyjna_dla_JST!$D$7,"_KPP"),"brak nazwy gminy")</f>
        <v>PL2602_KPP</v>
      </c>
      <c r="D13" s="22" t="str">
        <f>IFERROR(VLOOKUP($C13,kat_zadania[],katalogi!$N$1-katalogi!$L$1,FALSE),"brak nazwy gminy")</f>
        <v>Prowadzenie kontroli przestrzegania przepisów ograniczających używanie paliw lub urządzeń do celów grzewczych oraz zakazu spalania odpadów</v>
      </c>
      <c r="E13" s="82" t="s">
        <v>576</v>
      </c>
      <c r="F13" s="116"/>
      <c r="G13" s="23">
        <f>SUM(H13+M13)</f>
        <v>20</v>
      </c>
      <c r="H13" s="115">
        <v>20</v>
      </c>
      <c r="I13" s="115"/>
      <c r="J13" s="115"/>
      <c r="K13" s="115"/>
      <c r="L13" s="115"/>
      <c r="M13" s="115"/>
      <c r="N13" s="115"/>
      <c r="O13" s="115"/>
      <c r="P13" s="115"/>
      <c r="Q13" s="115"/>
      <c r="AI13" s="1" t="b">
        <f>OR(NOT(ISBLANK(G13)),NOT(ISBLANK(Q13)))</f>
        <v>1</v>
      </c>
    </row>
    <row r="14" spans="1:35" ht="23.1" customHeight="1" x14ac:dyDescent="0.2">
      <c r="A14" s="3">
        <v>2</v>
      </c>
      <c r="B14" s="15" t="str">
        <f>tabela_informacyjna_dla_JST!$C$9</f>
        <v>Górno</v>
      </c>
      <c r="C14" s="51" t="str">
        <f>IFERROR(CONCATENATE(tabela_informacyjna_dla_JST!$D$7,"_KPP"),"brak nazwy gminy")</f>
        <v>PL2602_KPP</v>
      </c>
      <c r="D14" s="22" t="str">
        <f>IFERROR(VLOOKUP($C14,kat_zadania[],katalogi!$N$1-katalogi!$L$1,FALSE),"brak nazwy gminy")</f>
        <v>Prowadzenie kontroli przestrzegania przepisów ograniczających używanie paliw lub urządzeń do celów grzewczych oraz zakazu spalania odpadów</v>
      </c>
      <c r="E14" s="82"/>
      <c r="F14" s="116"/>
      <c r="G14" s="23">
        <f t="shared" ref="G14:G22" si="2">SUM(H14+M14)</f>
        <v>0</v>
      </c>
      <c r="H14" s="115"/>
      <c r="I14" s="115"/>
      <c r="J14" s="115"/>
      <c r="K14" s="115"/>
      <c r="L14" s="115"/>
      <c r="M14" s="115"/>
      <c r="N14" s="115"/>
      <c r="O14" s="115"/>
      <c r="P14" s="115"/>
      <c r="Q14" s="115"/>
      <c r="AI14" s="1" t="b">
        <f t="shared" ref="AI14:AI22" si="3">OR(NOT(ISBLANK(G14)),NOT(ISBLANK(Q14)))</f>
        <v>1</v>
      </c>
    </row>
    <row r="15" spans="1:35" ht="23.1" customHeight="1" x14ac:dyDescent="0.2">
      <c r="A15" s="3">
        <v>3</v>
      </c>
      <c r="B15" s="15" t="str">
        <f>tabela_informacyjna_dla_JST!$C$9</f>
        <v>Górno</v>
      </c>
      <c r="C15" s="51" t="str">
        <f>IFERROR(CONCATENATE(tabela_informacyjna_dla_JST!$D$7,"_KPP"),"brak nazwy gminy")</f>
        <v>PL2602_KPP</v>
      </c>
      <c r="D15" s="22" t="str">
        <f>IFERROR(VLOOKUP($C15,kat_zadania[],katalogi!$N$1-katalogi!$L$1,FALSE),"brak nazwy gminy")</f>
        <v>Prowadzenie kontroli przestrzegania przepisów ograniczających używanie paliw lub urządzeń do celów grzewczych oraz zakazu spalania odpadów</v>
      </c>
      <c r="E15" s="82"/>
      <c r="F15" s="116"/>
      <c r="G15" s="23">
        <f t="shared" si="2"/>
        <v>0</v>
      </c>
      <c r="H15" s="115"/>
      <c r="I15" s="115"/>
      <c r="J15" s="115"/>
      <c r="K15" s="115"/>
      <c r="L15" s="115"/>
      <c r="M15" s="115"/>
      <c r="N15" s="115"/>
      <c r="O15" s="115"/>
      <c r="P15" s="115"/>
      <c r="Q15" s="115"/>
      <c r="AI15" s="1" t="b">
        <f t="shared" si="3"/>
        <v>1</v>
      </c>
    </row>
    <row r="16" spans="1:35" ht="23.1" customHeight="1" x14ac:dyDescent="0.2">
      <c r="A16" s="3">
        <v>4</v>
      </c>
      <c r="B16" s="15" t="str">
        <f>tabela_informacyjna_dla_JST!$C$9</f>
        <v>Górno</v>
      </c>
      <c r="C16" s="51" t="str">
        <f>IFERROR(CONCATENATE(tabela_informacyjna_dla_JST!$D$7,"_KPP"),"brak nazwy gminy")</f>
        <v>PL2602_KPP</v>
      </c>
      <c r="D16" s="22" t="str">
        <f>IFERROR(VLOOKUP($C16,kat_zadania[],katalogi!$N$1-katalogi!$L$1,FALSE),"brak nazwy gminy")</f>
        <v>Prowadzenie kontroli przestrzegania przepisów ograniczających używanie paliw lub urządzeń do celów grzewczych oraz zakazu spalania odpadów</v>
      </c>
      <c r="E16" s="82"/>
      <c r="F16" s="116"/>
      <c r="G16" s="23">
        <f t="shared" si="2"/>
        <v>0</v>
      </c>
      <c r="H16" s="115"/>
      <c r="I16" s="115"/>
      <c r="J16" s="115"/>
      <c r="K16" s="115"/>
      <c r="L16" s="115"/>
      <c r="M16" s="115"/>
      <c r="N16" s="115"/>
      <c r="O16" s="115"/>
      <c r="P16" s="115"/>
      <c r="Q16" s="115"/>
      <c r="AI16" s="1" t="b">
        <f t="shared" si="3"/>
        <v>1</v>
      </c>
    </row>
    <row r="17" spans="1:35" ht="23.1" customHeight="1" x14ac:dyDescent="0.2">
      <c r="A17" s="3">
        <v>5</v>
      </c>
      <c r="B17" s="15" t="str">
        <f>tabela_informacyjna_dla_JST!$C$9</f>
        <v>Górno</v>
      </c>
      <c r="C17" s="51" t="str">
        <f>IFERROR(CONCATENATE(tabela_informacyjna_dla_JST!$D$7,"_KPP"),"brak nazwy gminy")</f>
        <v>PL2602_KPP</v>
      </c>
      <c r="D17" s="22" t="str">
        <f>IFERROR(VLOOKUP($C17,kat_zadania[],katalogi!$N$1-katalogi!$L$1,FALSE),"brak nazwy gminy")</f>
        <v>Prowadzenie kontroli przestrzegania przepisów ograniczających używanie paliw lub urządzeń do celów grzewczych oraz zakazu spalania odpadów</v>
      </c>
      <c r="E17" s="82"/>
      <c r="F17" s="116"/>
      <c r="G17" s="23">
        <f t="shared" si="2"/>
        <v>0</v>
      </c>
      <c r="H17" s="115"/>
      <c r="I17" s="115"/>
      <c r="J17" s="115"/>
      <c r="K17" s="115"/>
      <c r="L17" s="115"/>
      <c r="M17" s="115"/>
      <c r="N17" s="115"/>
      <c r="O17" s="115"/>
      <c r="P17" s="115"/>
      <c r="Q17" s="115"/>
      <c r="AI17" s="1" t="b">
        <f t="shared" si="3"/>
        <v>1</v>
      </c>
    </row>
    <row r="18" spans="1:35" ht="23.1" customHeight="1" x14ac:dyDescent="0.2">
      <c r="A18" s="3">
        <v>6</v>
      </c>
      <c r="B18" s="15" t="str">
        <f>tabela_informacyjna_dla_JST!$C$9</f>
        <v>Górno</v>
      </c>
      <c r="C18" s="51" t="str">
        <f>IFERROR(CONCATENATE(tabela_informacyjna_dla_JST!$D$7,"_KPP"),"brak nazwy gminy")</f>
        <v>PL2602_KPP</v>
      </c>
      <c r="D18" s="22" t="str">
        <f>IFERROR(VLOOKUP($C18,kat_zadania[],katalogi!$N$1-katalogi!$L$1,FALSE),"brak nazwy gminy")</f>
        <v>Prowadzenie kontroli przestrzegania przepisów ograniczających używanie paliw lub urządzeń do celów grzewczych oraz zakazu spalania odpadów</v>
      </c>
      <c r="E18" s="82"/>
      <c r="F18" s="116"/>
      <c r="G18" s="23">
        <f t="shared" si="2"/>
        <v>0</v>
      </c>
      <c r="H18" s="115"/>
      <c r="I18" s="115"/>
      <c r="J18" s="115"/>
      <c r="K18" s="115"/>
      <c r="L18" s="115"/>
      <c r="M18" s="115"/>
      <c r="N18" s="115"/>
      <c r="O18" s="115"/>
      <c r="P18" s="115"/>
      <c r="Q18" s="115"/>
      <c r="AI18" s="1" t="b">
        <f t="shared" si="3"/>
        <v>1</v>
      </c>
    </row>
    <row r="19" spans="1:35" ht="23.1" customHeight="1" x14ac:dyDescent="0.2">
      <c r="A19" s="3">
        <v>7</v>
      </c>
      <c r="B19" s="15" t="str">
        <f>tabela_informacyjna_dla_JST!$C$9</f>
        <v>Górno</v>
      </c>
      <c r="C19" s="51" t="str">
        <f>IFERROR(CONCATENATE(tabela_informacyjna_dla_JST!$D$7,"_KPP"),"brak nazwy gminy")</f>
        <v>PL2602_KPP</v>
      </c>
      <c r="D19" s="22" t="str">
        <f>IFERROR(VLOOKUP($C19,kat_zadania[],katalogi!$N$1-katalogi!$L$1,FALSE),"brak nazwy gminy")</f>
        <v>Prowadzenie kontroli przestrzegania przepisów ograniczających używanie paliw lub urządzeń do celów grzewczych oraz zakazu spalania odpadów</v>
      </c>
      <c r="E19" s="82"/>
      <c r="F19" s="116"/>
      <c r="G19" s="23">
        <f t="shared" si="2"/>
        <v>0</v>
      </c>
      <c r="H19" s="115"/>
      <c r="I19" s="115"/>
      <c r="J19" s="115"/>
      <c r="K19" s="115"/>
      <c r="L19" s="115"/>
      <c r="M19" s="115"/>
      <c r="N19" s="115"/>
      <c r="O19" s="115"/>
      <c r="P19" s="115"/>
      <c r="Q19" s="115"/>
      <c r="AI19" s="1" t="b">
        <f t="shared" si="3"/>
        <v>1</v>
      </c>
    </row>
    <row r="20" spans="1:35" ht="23.1" customHeight="1" x14ac:dyDescent="0.2">
      <c r="A20" s="3">
        <v>8</v>
      </c>
      <c r="B20" s="15" t="str">
        <f>tabela_informacyjna_dla_JST!$C$9</f>
        <v>Górno</v>
      </c>
      <c r="C20" s="51" t="str">
        <f>IFERROR(CONCATENATE(tabela_informacyjna_dla_JST!$D$7,"_KPP"),"brak nazwy gminy")</f>
        <v>PL2602_KPP</v>
      </c>
      <c r="D20" s="22" t="str">
        <f>IFERROR(VLOOKUP($C20,kat_zadania[],katalogi!$N$1-katalogi!$L$1,FALSE),"brak nazwy gminy")</f>
        <v>Prowadzenie kontroli przestrzegania przepisów ograniczających używanie paliw lub urządzeń do celów grzewczych oraz zakazu spalania odpadów</v>
      </c>
      <c r="E20" s="82"/>
      <c r="F20" s="116"/>
      <c r="G20" s="23">
        <f t="shared" si="2"/>
        <v>0</v>
      </c>
      <c r="H20" s="115"/>
      <c r="I20" s="115"/>
      <c r="J20" s="115"/>
      <c r="K20" s="115"/>
      <c r="L20" s="115"/>
      <c r="M20" s="115"/>
      <c r="N20" s="115"/>
      <c r="O20" s="115"/>
      <c r="P20" s="115"/>
      <c r="Q20" s="115"/>
      <c r="AI20" s="1" t="b">
        <f t="shared" si="3"/>
        <v>1</v>
      </c>
    </row>
    <row r="21" spans="1:35" ht="23.1" customHeight="1" x14ac:dyDescent="0.2">
      <c r="A21" s="3">
        <v>9</v>
      </c>
      <c r="B21" s="15" t="str">
        <f>tabela_informacyjna_dla_JST!$C$9</f>
        <v>Górno</v>
      </c>
      <c r="C21" s="51" t="str">
        <f>IFERROR(CONCATENATE(tabela_informacyjna_dla_JST!$D$7,"_KPP"),"brak nazwy gminy")</f>
        <v>PL2602_KPP</v>
      </c>
      <c r="D21" s="22" t="str">
        <f>IFERROR(VLOOKUP($C21,kat_zadania[],katalogi!$N$1-katalogi!$L$1,FALSE),"brak nazwy gminy")</f>
        <v>Prowadzenie kontroli przestrzegania przepisów ograniczających używanie paliw lub urządzeń do celów grzewczych oraz zakazu spalania odpadów</v>
      </c>
      <c r="E21" s="82"/>
      <c r="F21" s="116"/>
      <c r="G21" s="23">
        <f t="shared" si="2"/>
        <v>0</v>
      </c>
      <c r="H21" s="115"/>
      <c r="I21" s="115"/>
      <c r="J21" s="115"/>
      <c r="K21" s="115"/>
      <c r="L21" s="115"/>
      <c r="M21" s="115"/>
      <c r="N21" s="115"/>
      <c r="O21" s="115"/>
      <c r="P21" s="115"/>
      <c r="Q21" s="115"/>
      <c r="AI21" s="1" t="b">
        <f t="shared" si="3"/>
        <v>1</v>
      </c>
    </row>
    <row r="22" spans="1:35" ht="23.1" customHeight="1" x14ac:dyDescent="0.2">
      <c r="A22" s="3">
        <v>10</v>
      </c>
      <c r="B22" s="15" t="str">
        <f>tabela_informacyjna_dla_JST!$C$9</f>
        <v>Górno</v>
      </c>
      <c r="C22" s="51" t="str">
        <f>IFERROR(CONCATENATE(tabela_informacyjna_dla_JST!$D$7,"_KPP"),"brak nazwy gminy")</f>
        <v>PL2602_KPP</v>
      </c>
      <c r="D22" s="22" t="str">
        <f>IFERROR(VLOOKUP($C22,kat_zadania[],katalogi!$N$1-katalogi!$L$1,FALSE),"brak nazwy gminy")</f>
        <v>Prowadzenie kontroli przestrzegania przepisów ograniczających używanie paliw lub urządzeń do celów grzewczych oraz zakazu spalania odpadów</v>
      </c>
      <c r="E22" s="82"/>
      <c r="F22" s="116"/>
      <c r="G22" s="23">
        <f t="shared" si="2"/>
        <v>0</v>
      </c>
      <c r="H22" s="115"/>
      <c r="I22" s="115"/>
      <c r="J22" s="115"/>
      <c r="K22" s="115"/>
      <c r="L22" s="115"/>
      <c r="M22" s="115"/>
      <c r="N22" s="115"/>
      <c r="O22" s="115"/>
      <c r="P22" s="115"/>
      <c r="Q22" s="115"/>
      <c r="AI22" s="1" t="b">
        <f t="shared" si="3"/>
        <v>1</v>
      </c>
    </row>
  </sheetData>
  <sheetProtection formatCells="0" formatRows="0" sort="0" autoFilter="0" pivotTables="0"/>
  <dataConsolidate/>
  <mergeCells count="11">
    <mergeCell ref="H8:Q8"/>
    <mergeCell ref="H9:L9"/>
    <mergeCell ref="M9:Q9"/>
    <mergeCell ref="G6:Q6"/>
    <mergeCell ref="G8:G10"/>
    <mergeCell ref="F8:F9"/>
    <mergeCell ref="E8:E10"/>
    <mergeCell ref="A8:A10"/>
    <mergeCell ref="B8:B10"/>
    <mergeCell ref="C8:C10"/>
    <mergeCell ref="D8:D10"/>
  </mergeCells>
  <conditionalFormatting sqref="B13:B22">
    <cfRule type="cellIs" dxfId="1" priority="2" operator="equal">
      <formula>0</formula>
    </cfRule>
  </conditionalFormatting>
  <conditionalFormatting sqref="F13:F22">
    <cfRule type="expression" dxfId="0" priority="1">
      <formula>$E13="rutynowe"</formula>
    </cfRule>
  </conditionalFormatting>
  <dataValidations count="3">
    <dataValidation type="list" allowBlank="1" showInputMessage="1" showErrorMessage="1" sqref="E13:E22" xr:uid="{00000000-0002-0000-0800-000000000000}">
      <formula1>"rutynowe,PDK ALARM I STOPNIA,PDK ALARM II STOPNIA"</formula1>
    </dataValidation>
    <dataValidation type="whole" operator="greaterThanOrEqual" allowBlank="1" showInputMessage="1" showErrorMessage="1" error="Proszę podać wartość liczbową!" sqref="H13:Q22" xr:uid="{00000000-0002-0000-0800-000001000000}">
      <formula1>0</formula1>
    </dataValidation>
    <dataValidation type="date" allowBlank="1" showInputMessage="1" showErrorMessage="1" sqref="F13:F22" xr:uid="{00000000-0002-0000-0800-000002000000}">
      <formula1>44075</formula1>
      <formula2>46387</formula2>
    </dataValidation>
  </dataValidations>
  <pageMargins left="0.7" right="0.7" top="0.75" bottom="0.75" header="0.3" footer="0.3"/>
  <pageSetup paperSize="9" scale="54" fitToHeight="0" orientation="landscape"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2:C27"/>
  <sheetViews>
    <sheetView workbookViewId="0">
      <selection activeCell="A19" sqref="A19:B19"/>
    </sheetView>
  </sheetViews>
  <sheetFormatPr defaultColWidth="10" defaultRowHeight="12" x14ac:dyDescent="0.2"/>
  <cols>
    <col min="1" max="1" width="38" style="1" customWidth="1"/>
    <col min="2" max="2" width="64.7109375" style="1" customWidth="1"/>
    <col min="3" max="3" width="36.28515625" style="1" customWidth="1"/>
    <col min="4" max="9" width="9.7109375" style="1" customWidth="1"/>
    <col min="10" max="16384" width="10" style="1"/>
  </cols>
  <sheetData>
    <row r="2" spans="1:3" ht="19.899999999999999" customHeight="1" x14ac:dyDescent="0.2">
      <c r="A2" s="12" t="s">
        <v>423</v>
      </c>
      <c r="B2" s="2"/>
    </row>
    <row r="3" spans="1:3" x14ac:dyDescent="0.2">
      <c r="A3" s="233" t="s">
        <v>406</v>
      </c>
      <c r="B3" s="233"/>
      <c r="C3" s="84" t="s">
        <v>421</v>
      </c>
    </row>
    <row r="4" spans="1:3" ht="24" x14ac:dyDescent="0.2">
      <c r="A4" s="85" t="s">
        <v>407</v>
      </c>
      <c r="B4" s="198" t="s">
        <v>592</v>
      </c>
      <c r="C4" s="88" t="s">
        <v>408</v>
      </c>
    </row>
    <row r="5" spans="1:3" ht="96" x14ac:dyDescent="0.2">
      <c r="A5" s="86" t="s">
        <v>465</v>
      </c>
      <c r="B5" s="117"/>
      <c r="C5" s="89" t="s">
        <v>464</v>
      </c>
    </row>
    <row r="6" spans="1:3" ht="38.450000000000003" customHeight="1" x14ac:dyDescent="0.2">
      <c r="A6" s="87" t="s">
        <v>409</v>
      </c>
      <c r="B6" s="83" t="s">
        <v>584</v>
      </c>
      <c r="C6" s="88" t="s">
        <v>466</v>
      </c>
    </row>
    <row r="7" spans="1:3" x14ac:dyDescent="0.2">
      <c r="A7" s="232" t="s">
        <v>411</v>
      </c>
      <c r="B7" s="232"/>
      <c r="C7" s="88"/>
    </row>
    <row r="8" spans="1:3" x14ac:dyDescent="0.2">
      <c r="A8" s="234" t="s">
        <v>585</v>
      </c>
      <c r="B8" s="234"/>
      <c r="C8" s="88" t="s">
        <v>410</v>
      </c>
    </row>
    <row r="9" spans="1:3" ht="38.450000000000003" customHeight="1" x14ac:dyDescent="0.2">
      <c r="A9" s="85" t="s">
        <v>467</v>
      </c>
      <c r="B9" s="117"/>
      <c r="C9" s="89" t="s">
        <v>464</v>
      </c>
    </row>
    <row r="10" spans="1:3" x14ac:dyDescent="0.2">
      <c r="A10" s="232" t="s">
        <v>468</v>
      </c>
      <c r="B10" s="232"/>
      <c r="C10" s="89"/>
    </row>
    <row r="11" spans="1:3" ht="28.5" customHeight="1" x14ac:dyDescent="0.2">
      <c r="A11" s="234"/>
      <c r="B11" s="234"/>
      <c r="C11" s="88" t="s">
        <v>422</v>
      </c>
    </row>
    <row r="12" spans="1:3" x14ac:dyDescent="0.2">
      <c r="A12" s="232" t="s">
        <v>412</v>
      </c>
      <c r="B12" s="232"/>
      <c r="C12" s="89"/>
    </row>
    <row r="13" spans="1:3" ht="110.45" customHeight="1" x14ac:dyDescent="0.2">
      <c r="A13" s="86" t="s">
        <v>469</v>
      </c>
      <c r="B13" s="118"/>
      <c r="C13" s="89" t="s">
        <v>424</v>
      </c>
    </row>
    <row r="14" spans="1:3" ht="48" x14ac:dyDescent="0.2">
      <c r="A14" s="86" t="s">
        <v>413</v>
      </c>
      <c r="B14" s="82" t="s">
        <v>586</v>
      </c>
      <c r="C14" s="89" t="s">
        <v>408</v>
      </c>
    </row>
    <row r="15" spans="1:3" x14ac:dyDescent="0.2">
      <c r="A15" s="232" t="s">
        <v>470</v>
      </c>
      <c r="B15" s="232"/>
      <c r="C15" s="89"/>
    </row>
    <row r="16" spans="1:3" ht="60" customHeight="1" x14ac:dyDescent="0.2">
      <c r="A16" s="234" t="s">
        <v>587</v>
      </c>
      <c r="B16" s="234"/>
      <c r="C16" s="89" t="s">
        <v>414</v>
      </c>
    </row>
    <row r="17" spans="1:3" x14ac:dyDescent="0.2">
      <c r="A17" s="235" t="s">
        <v>415</v>
      </c>
      <c r="B17" s="235"/>
      <c r="C17" s="89"/>
    </row>
    <row r="18" spans="1:3" x14ac:dyDescent="0.2">
      <c r="A18" s="232" t="s">
        <v>416</v>
      </c>
      <c r="B18" s="232"/>
      <c r="C18" s="89"/>
    </row>
    <row r="19" spans="1:3" ht="60" customHeight="1" x14ac:dyDescent="0.2">
      <c r="A19" s="234" t="s">
        <v>591</v>
      </c>
      <c r="B19" s="234"/>
      <c r="C19" s="89" t="s">
        <v>414</v>
      </c>
    </row>
    <row r="20" spans="1:3" x14ac:dyDescent="0.2">
      <c r="A20" s="232" t="s">
        <v>417</v>
      </c>
      <c r="B20" s="232"/>
      <c r="C20" s="89"/>
    </row>
    <row r="21" spans="1:3" ht="60" customHeight="1" x14ac:dyDescent="0.2">
      <c r="A21" s="234" t="s">
        <v>589</v>
      </c>
      <c r="B21" s="234"/>
      <c r="C21" s="89" t="s">
        <v>414</v>
      </c>
    </row>
    <row r="22" spans="1:3" ht="26.25" customHeight="1" x14ac:dyDescent="0.2">
      <c r="A22" s="232" t="s">
        <v>471</v>
      </c>
      <c r="B22" s="232"/>
      <c r="C22" s="89"/>
    </row>
    <row r="23" spans="1:3" ht="60" customHeight="1" x14ac:dyDescent="0.2">
      <c r="A23" s="236" t="s">
        <v>588</v>
      </c>
      <c r="B23" s="234"/>
      <c r="C23" s="89" t="s">
        <v>414</v>
      </c>
    </row>
    <row r="24" spans="1:3" x14ac:dyDescent="0.2">
      <c r="A24" s="232" t="s">
        <v>418</v>
      </c>
      <c r="B24" s="232"/>
      <c r="C24" s="89"/>
    </row>
    <row r="25" spans="1:3" ht="60" customHeight="1" x14ac:dyDescent="0.2">
      <c r="A25" s="234" t="s">
        <v>580</v>
      </c>
      <c r="B25" s="234"/>
      <c r="C25" s="89" t="s">
        <v>414</v>
      </c>
    </row>
    <row r="26" spans="1:3" x14ac:dyDescent="0.2">
      <c r="A26" s="232" t="s">
        <v>419</v>
      </c>
      <c r="B26" s="232"/>
      <c r="C26" s="89"/>
    </row>
    <row r="27" spans="1:3" ht="60" customHeight="1" x14ac:dyDescent="0.2">
      <c r="A27" s="234" t="s">
        <v>580</v>
      </c>
      <c r="B27" s="234"/>
      <c r="C27" s="89" t="s">
        <v>420</v>
      </c>
    </row>
  </sheetData>
  <mergeCells count="19">
    <mergeCell ref="A27:B27"/>
    <mergeCell ref="A21:B21"/>
    <mergeCell ref="A22:B22"/>
    <mergeCell ref="A23:B23"/>
    <mergeCell ref="A24:B24"/>
    <mergeCell ref="A25:B25"/>
    <mergeCell ref="A26:B26"/>
    <mergeCell ref="A20:B20"/>
    <mergeCell ref="A3:B3"/>
    <mergeCell ref="A7:B7"/>
    <mergeCell ref="A8:B8"/>
    <mergeCell ref="A10:B10"/>
    <mergeCell ref="A11:B11"/>
    <mergeCell ref="A12:B12"/>
    <mergeCell ref="A15:B15"/>
    <mergeCell ref="A16:B16"/>
    <mergeCell ref="A17:B17"/>
    <mergeCell ref="A18:B18"/>
    <mergeCell ref="A19:B19"/>
  </mergeCells>
  <hyperlinks>
    <hyperlink ref="A23" r:id="rId1" display="https://czkw.kielce.uw.gov.pl/czk/aktualnosci-i-komunikat/komunikaty-kryzysowe/25617,Powiadomienie-o-ryzyku-wystapienia-przekroczenia-poziomu-informowania-dla-pylu-z.html" xr:uid="{274BEF15-7B94-4A10-87B0-987BCCA53767}"/>
    <hyperlink ref="B4" r:id="rId2" xr:uid="{3A5341C6-3C6F-40F5-A0C6-13B53EA44697}"/>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1</xdr:col>
                    <xdr:colOff>0</xdr:colOff>
                    <xdr:row>4</xdr:row>
                    <xdr:rowOff>0</xdr:rowOff>
                  </from>
                  <to>
                    <xdr:col>1</xdr:col>
                    <xdr:colOff>1190625</xdr:colOff>
                    <xdr:row>4</xdr:row>
                    <xdr:rowOff>276225</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1</xdr:col>
                    <xdr:colOff>0</xdr:colOff>
                    <xdr:row>4</xdr:row>
                    <xdr:rowOff>180975</xdr:rowOff>
                  </from>
                  <to>
                    <xdr:col>1</xdr:col>
                    <xdr:colOff>990600</xdr:colOff>
                    <xdr:row>4</xdr:row>
                    <xdr:rowOff>581025</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1</xdr:col>
                    <xdr:colOff>0</xdr:colOff>
                    <xdr:row>4</xdr:row>
                    <xdr:rowOff>514350</xdr:rowOff>
                  </from>
                  <to>
                    <xdr:col>1</xdr:col>
                    <xdr:colOff>1038225</xdr:colOff>
                    <xdr:row>4</xdr:row>
                    <xdr:rowOff>742950</xdr:rowOff>
                  </to>
                </anchor>
              </controlPr>
            </control>
          </mc:Choice>
        </mc:AlternateContent>
        <mc:AlternateContent xmlns:mc="http://schemas.openxmlformats.org/markup-compatibility/2006">
          <mc:Choice Requires="x14">
            <control shapeId="10244" r:id="rId9" name="Check Box 4">
              <controlPr defaultSize="0" autoFill="0" autoLine="0" autoPict="0">
                <anchor moveWithCells="1">
                  <from>
                    <xdr:col>1</xdr:col>
                    <xdr:colOff>0</xdr:colOff>
                    <xdr:row>4</xdr:row>
                    <xdr:rowOff>752475</xdr:rowOff>
                  </from>
                  <to>
                    <xdr:col>1</xdr:col>
                    <xdr:colOff>1038225</xdr:colOff>
                    <xdr:row>4</xdr:row>
                    <xdr:rowOff>962025</xdr:rowOff>
                  </to>
                </anchor>
              </controlPr>
            </control>
          </mc:Choice>
        </mc:AlternateContent>
        <mc:AlternateContent xmlns:mc="http://schemas.openxmlformats.org/markup-compatibility/2006">
          <mc:Choice Requires="x14">
            <control shapeId="10245" r:id="rId10" name="Check Box 5">
              <controlPr defaultSize="0" autoFill="0" autoLine="0" autoPict="0">
                <anchor moveWithCells="1">
                  <from>
                    <xdr:col>1</xdr:col>
                    <xdr:colOff>19050</xdr:colOff>
                    <xdr:row>8</xdr:row>
                    <xdr:rowOff>0</xdr:rowOff>
                  </from>
                  <to>
                    <xdr:col>1</xdr:col>
                    <xdr:colOff>1009650</xdr:colOff>
                    <xdr:row>8</xdr:row>
                    <xdr:rowOff>209550</xdr:rowOff>
                  </to>
                </anchor>
              </controlPr>
            </control>
          </mc:Choice>
        </mc:AlternateContent>
        <mc:AlternateContent xmlns:mc="http://schemas.openxmlformats.org/markup-compatibility/2006">
          <mc:Choice Requires="x14">
            <control shapeId="10246" r:id="rId11" name="Check Box 6">
              <controlPr defaultSize="0" autoFill="0" autoLine="0" autoPict="0">
                <anchor moveWithCells="1">
                  <from>
                    <xdr:col>1</xdr:col>
                    <xdr:colOff>19050</xdr:colOff>
                    <xdr:row>8</xdr:row>
                    <xdr:rowOff>209550</xdr:rowOff>
                  </from>
                  <to>
                    <xdr:col>1</xdr:col>
                    <xdr:colOff>1123950</xdr:colOff>
                    <xdr:row>8</xdr:row>
                    <xdr:rowOff>457200</xdr:rowOff>
                  </to>
                </anchor>
              </controlPr>
            </control>
          </mc:Choice>
        </mc:AlternateContent>
        <mc:AlternateContent xmlns:mc="http://schemas.openxmlformats.org/markup-compatibility/2006">
          <mc:Choice Requires="x14">
            <control shapeId="10247" r:id="rId12" name="Check Box 7">
              <controlPr defaultSize="0" autoFill="0" autoLine="0" autoPict="0">
                <anchor moveWithCells="1">
                  <from>
                    <xdr:col>1</xdr:col>
                    <xdr:colOff>19050</xdr:colOff>
                    <xdr:row>12</xdr:row>
                    <xdr:rowOff>47625</xdr:rowOff>
                  </from>
                  <to>
                    <xdr:col>1</xdr:col>
                    <xdr:colOff>1009650</xdr:colOff>
                    <xdr:row>12</xdr:row>
                    <xdr:rowOff>314325</xdr:rowOff>
                  </to>
                </anchor>
              </controlPr>
            </control>
          </mc:Choice>
        </mc:AlternateContent>
        <mc:AlternateContent xmlns:mc="http://schemas.openxmlformats.org/markup-compatibility/2006">
          <mc:Choice Requires="x14">
            <control shapeId="10248" r:id="rId13" name="Check Box 8">
              <controlPr defaultSize="0" autoFill="0" autoLine="0" autoPict="0">
                <anchor moveWithCells="1">
                  <from>
                    <xdr:col>1</xdr:col>
                    <xdr:colOff>19050</xdr:colOff>
                    <xdr:row>12</xdr:row>
                    <xdr:rowOff>285750</xdr:rowOff>
                  </from>
                  <to>
                    <xdr:col>1</xdr:col>
                    <xdr:colOff>1009650</xdr:colOff>
                    <xdr:row>12</xdr:row>
                    <xdr:rowOff>542925</xdr:rowOff>
                  </to>
                </anchor>
              </controlPr>
            </control>
          </mc:Choice>
        </mc:AlternateContent>
        <mc:AlternateContent xmlns:mc="http://schemas.openxmlformats.org/markup-compatibility/2006">
          <mc:Choice Requires="x14">
            <control shapeId="10249" r:id="rId14" name="Check Box 9">
              <controlPr defaultSize="0" autoFill="0" autoLine="0" autoPict="0">
                <anchor moveWithCells="1">
                  <from>
                    <xdr:col>1</xdr:col>
                    <xdr:colOff>19050</xdr:colOff>
                    <xdr:row>12</xdr:row>
                    <xdr:rowOff>466725</xdr:rowOff>
                  </from>
                  <to>
                    <xdr:col>1</xdr:col>
                    <xdr:colOff>1009650</xdr:colOff>
                    <xdr:row>12</xdr:row>
                    <xdr:rowOff>752475</xdr:rowOff>
                  </to>
                </anchor>
              </controlPr>
            </control>
          </mc:Choice>
        </mc:AlternateContent>
        <mc:AlternateContent xmlns:mc="http://schemas.openxmlformats.org/markup-compatibility/2006">
          <mc:Choice Requires="x14">
            <control shapeId="10250" r:id="rId15" name="Check Box 10">
              <controlPr defaultSize="0" autoFill="0" autoLine="0" autoPict="0">
                <anchor moveWithCells="1">
                  <from>
                    <xdr:col>1</xdr:col>
                    <xdr:colOff>19050</xdr:colOff>
                    <xdr:row>12</xdr:row>
                    <xdr:rowOff>666750</xdr:rowOff>
                  </from>
                  <to>
                    <xdr:col>1</xdr:col>
                    <xdr:colOff>1009650</xdr:colOff>
                    <xdr:row>12</xdr:row>
                    <xdr:rowOff>962025</xdr:rowOff>
                  </to>
                </anchor>
              </controlPr>
            </control>
          </mc:Choice>
        </mc:AlternateContent>
        <mc:AlternateContent xmlns:mc="http://schemas.openxmlformats.org/markup-compatibility/2006">
          <mc:Choice Requires="x14">
            <control shapeId="10251" r:id="rId16" name="Check Box 11">
              <controlPr defaultSize="0" autoFill="0" autoLine="0" autoPict="0">
                <anchor moveWithCells="1">
                  <from>
                    <xdr:col>1</xdr:col>
                    <xdr:colOff>19050</xdr:colOff>
                    <xdr:row>12</xdr:row>
                    <xdr:rowOff>895350</xdr:rowOff>
                  </from>
                  <to>
                    <xdr:col>1</xdr:col>
                    <xdr:colOff>1009650</xdr:colOff>
                    <xdr:row>12</xdr:row>
                    <xdr:rowOff>1181100</xdr:rowOff>
                  </to>
                </anchor>
              </controlPr>
            </control>
          </mc:Choice>
        </mc:AlternateContent>
        <mc:AlternateContent xmlns:mc="http://schemas.openxmlformats.org/markup-compatibility/2006">
          <mc:Choice Requires="x14">
            <control shapeId="10252" r:id="rId17" name="Check Box 12">
              <controlPr defaultSize="0" autoFill="0" autoLine="0" autoPict="0">
                <anchor moveWithCells="1">
                  <from>
                    <xdr:col>1</xdr:col>
                    <xdr:colOff>19050</xdr:colOff>
                    <xdr:row>12</xdr:row>
                    <xdr:rowOff>1104900</xdr:rowOff>
                  </from>
                  <to>
                    <xdr:col>1</xdr:col>
                    <xdr:colOff>1009650</xdr:colOff>
                    <xdr:row>12</xdr:row>
                    <xdr:rowOff>1381125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21</vt:i4>
      </vt:variant>
    </vt:vector>
  </HeadingPairs>
  <TitlesOfParts>
    <vt:vector size="31" baseType="lpstr">
      <vt:lpstr>katalogi</vt:lpstr>
      <vt:lpstr>katalog_gmin_PL26</vt:lpstr>
      <vt:lpstr>wskaźniki_efektu</vt:lpstr>
      <vt:lpstr>instrukcja</vt:lpstr>
      <vt:lpstr>tabela_informacyjna_dla_JST</vt:lpstr>
      <vt:lpstr>tab.1_ZSO_gminy</vt:lpstr>
      <vt:lpstr>tab.2_EE_gminy</vt:lpstr>
      <vt:lpstr>tab.3_KPP</vt:lpstr>
      <vt:lpstr>tab.5_PDK</vt:lpstr>
      <vt:lpstr>gminy strefy świętokrzyskiej</vt:lpstr>
      <vt:lpstr>buski</vt:lpstr>
      <vt:lpstr>jędrzejowski</vt:lpstr>
      <vt:lpstr>kazimierski</vt:lpstr>
      <vt:lpstr>Kielce</vt:lpstr>
      <vt:lpstr>kielecki</vt:lpstr>
      <vt:lpstr>kod_efektu</vt:lpstr>
      <vt:lpstr>konecki</vt:lpstr>
      <vt:lpstr>monit_ZSO</vt:lpstr>
      <vt:lpstr>tab.1_ZSO_gminy!nazwy_gmin</vt:lpstr>
      <vt:lpstr>tab.3_KPP!nazwy_gmin</vt:lpstr>
      <vt:lpstr>nazwy_gmin</vt:lpstr>
      <vt:lpstr>nazwy_powiaty</vt:lpstr>
      <vt:lpstr>opatowski</vt:lpstr>
      <vt:lpstr>ostrowiecki</vt:lpstr>
      <vt:lpstr>pińczowski</vt:lpstr>
      <vt:lpstr>Powiaty</vt:lpstr>
      <vt:lpstr>sandomierski</vt:lpstr>
      <vt:lpstr>skarżyski</vt:lpstr>
      <vt:lpstr>starachowicki</vt:lpstr>
      <vt:lpstr>staszowski</vt:lpstr>
      <vt:lpstr>włoszczowski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dc:creator>
  <cp:lastModifiedBy>Justyna Sodel</cp:lastModifiedBy>
  <cp:lastPrinted>2024-02-12T09:06:47Z</cp:lastPrinted>
  <dcterms:created xsi:type="dcterms:W3CDTF">2014-03-17T07:23:47Z</dcterms:created>
  <dcterms:modified xsi:type="dcterms:W3CDTF">2024-02-13T12:38:39Z</dcterms:modified>
</cp:coreProperties>
</file>